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7280" windowHeight="10230" tabRatio="903" firstSheet="2" activeTab="3"/>
  </bookViews>
  <sheets>
    <sheet name="Intro" sheetId="1" r:id="rId1"/>
    <sheet name="Framingham Prediction of CHD" sheetId="2" r:id="rId2"/>
    <sheet name="Duke Clinical Prediction of CHD" sheetId="3" r:id="rId3"/>
    <sheet name="Duke Treadmill Score" sheetId="4" r:id="rId4"/>
    <sheet name="TIMI Risk in ST MI" sheetId="5" r:id="rId5"/>
    <sheet name="TIMI Risk in UA-NSTEMI" sheetId="6" r:id="rId6"/>
    <sheet name="ExECG+TnT Risk in ACS" sheetId="7" r:id="rId7"/>
    <sheet name="EUROSCORE+Parsonnet" sheetId="8" r:id="rId8"/>
    <sheet name="Choice Priority" sheetId="9" r:id="rId9"/>
    <sheet name="AF Stroke Risk" sheetId="10" r:id="rId10"/>
  </sheets>
  <definedNames>
    <definedName name="AF">'Framingham Prediction of CHD'!$C$8</definedName>
    <definedName name="Age">'Framingham Prediction of CHD'!$C$4</definedName>
    <definedName name="_xlnm.Print_Area" localSheetId="8">'Choice Priority'!$A$1:$D$31</definedName>
    <definedName name="_xlnm.Print_Area" localSheetId="2">'Duke Clinical Prediction of CHD'!$A$1:$I$41</definedName>
    <definedName name="_xlnm.Print_Area" localSheetId="3">'Duke Treadmill Score'!$A$1:$F$33</definedName>
    <definedName name="_xlnm.Print_Area" localSheetId="7">'EUROSCORE+Parsonnet'!$A$1:$L$59</definedName>
    <definedName name="_xlnm.Print_Area" localSheetId="1">'Framingham Prediction of CHD'!$A$1:$K$49</definedName>
    <definedName name="_xlnm.Print_Area" localSheetId="4">'TIMI Risk in ST MI'!$A$1:$C$30</definedName>
    <definedName name="_xlnm.Print_Area" localSheetId="5">'TIMI Risk in UA-NSTEMI'!$A$1:$C$30</definedName>
    <definedName name="AvgCHDF">'Framingham Prediction of CHD'!$D$17</definedName>
    <definedName name="AvgCHDM">'Framingham Prediction of CHD'!$C$17</definedName>
    <definedName name="AvgCVAF">'Framingham Prediction of CHD'!$D$24</definedName>
    <definedName name="AvgCVAM">'Framingham Prediction of CHD'!$C$24</definedName>
    <definedName name="BPRx">'Framingham Prediction of CHD'!$C$9</definedName>
    <definedName name="CalcCHDF">'Framingham Prediction of CHD'!$D$16</definedName>
    <definedName name="CalcCHDM">'Framingham Prediction of CHD'!$C$16</definedName>
    <definedName name="CalcCVAF">'Framingham Prediction of CHD'!$D$23</definedName>
    <definedName name="CalcCVAM">'Framingham Prediction of CHD'!$C$23</definedName>
    <definedName name="CHDCHFPVD">'Framingham Prediction of CHD'!$C$12</definedName>
    <definedName name="ChoiceB">'Choice Priority'!$B$6</definedName>
    <definedName name="ChoiceC">'Choice Priority'!$B$8</definedName>
    <definedName name="ChoiceD">'Choice Priority'!$B$10</definedName>
    <definedName name="Diabetes">'Framingham Prediction of CHD'!$C$11</definedName>
    <definedName name="DTS">'Duke Treadmill Score'!$C$7</definedName>
    <definedName name="EuroAge" localSheetId="7">'EUROSCORE+Parsonnet'!$C$2</definedName>
    <definedName name="EuroAge">#REF!</definedName>
    <definedName name="EuroEmergency" localSheetId="7">'EUROSCORE+Parsonnet'!$C$28</definedName>
    <definedName name="EuroEmergency">#REF!</definedName>
    <definedName name="EuroSex" localSheetId="7">'EUROSCORE+Parsonnet'!$C$3</definedName>
    <definedName name="EuroSex">#REF!</definedName>
    <definedName name="HDL">'Framingham Prediction of CHD'!$C$6</definedName>
    <definedName name="IdealCHDF">'Framingham Prediction of CHD'!$D$18</definedName>
    <definedName name="IdealCHDM">'Framingham Prediction of CHD'!$C$18</definedName>
    <definedName name="LVH">'Framingham Prediction of CHD'!$C$13</definedName>
    <definedName name="Points">'Duke Treadmill Score'!$C$8</definedName>
    <definedName name="PredCHD">'Framingham Prediction of CHD'!$D$54:$H$63</definedName>
    <definedName name="PredCVA">'Framingham Prediction of CHD'!$D$67:$F$72</definedName>
    <definedName name="SBP">'Framingham Prediction of CHD'!$C$7</definedName>
    <definedName name="Smoker">'Framingham Prediction of CHD'!$C$10</definedName>
    <definedName name="TC">'Framingham Prediction of CHD'!$C$5</definedName>
    <definedName name="wrn.Framingham._.calculation." localSheetId="8" hidden="1">{"Framingham calculation page",#N/A,FALSE,"Framingham Prediction of CHD"}</definedName>
    <definedName name="wrn.Framingham._.calculation." localSheetId="7" hidden="1">{"Framingham calculation page",#N/A,FALSE,"Framingham Prediction of CHD"}</definedName>
    <definedName name="wrn.Framingham._.calculation." hidden="1">{"Framingham calculation page",#N/A,FALSE,"Framingham Prediction of CHD"}</definedName>
  </definedNames>
  <calcPr fullCalcOnLoad="1"/>
</workbook>
</file>

<file path=xl/sharedStrings.xml><?xml version="1.0" encoding="utf-8"?>
<sst xmlns="http://schemas.openxmlformats.org/spreadsheetml/2006/main" count="603" uniqueCount="437">
  <si>
    <t>Male</t>
  </si>
  <si>
    <t>Female</t>
  </si>
  <si>
    <t>Age</t>
  </si>
  <si>
    <t>Total Cholesterol</t>
  </si>
  <si>
    <t>mmol/l</t>
  </si>
  <si>
    <t>mmHg</t>
  </si>
  <si>
    <t>Systolic BP</t>
  </si>
  <si>
    <t>Expected 10 year probability of CHD Event</t>
  </si>
  <si>
    <t>Expected 10 year probability of Stroke</t>
  </si>
  <si>
    <t>Avg M</t>
  </si>
  <si>
    <t>Ideal M</t>
  </si>
  <si>
    <t>Avg F</t>
  </si>
  <si>
    <t>Ideal F</t>
  </si>
  <si>
    <t>Calculated 10 year risk of Stroke</t>
  </si>
  <si>
    <t>Calculated 10 year risk of CHD event</t>
  </si>
  <si>
    <t>Average 10 year risk of CHD event at this age</t>
  </si>
  <si>
    <t>0=N, 1=Y</t>
  </si>
  <si>
    <t>Average 10 year risk of Stroke at this age</t>
  </si>
  <si>
    <t>In Atrial Fibrillation ?</t>
  </si>
  <si>
    <t>On AntiHypertensive Rx ?</t>
  </si>
  <si>
    <t>History of Smoking in past year ?</t>
  </si>
  <si>
    <t>History of Diabetes ?</t>
  </si>
  <si>
    <t>References:</t>
  </si>
  <si>
    <t>History of CHD,CHF or Peripheral Vascular disease ?</t>
  </si>
  <si>
    <t>Relative risk of CHD vs Ideal risk</t>
  </si>
  <si>
    <t>Relative risk of CHD vs Average risk</t>
  </si>
  <si>
    <t>Relative risk of Stroke vs Average risk</t>
  </si>
  <si>
    <t>Anderson KM, Wilson PWF, Odell PM, Kannell WB.  An updated Coronary Risk Profile.  Circulation 1991;83:356-62</t>
  </si>
  <si>
    <t>Wolf PA, D'Agostino RB, Belanger AJ, Kannel WB   Probability of stroke: a risk profile from the Framingham Study.  Stroke 1991;22:312-8</t>
  </si>
  <si>
    <t>Joint British recommendations on prevention of coronary heart disease in clinical practice.  Heart 1998;80 (supplement 2):S1-S29</t>
  </si>
  <si>
    <t>Wood DA, et al   Prevention of coronary heart disease in clinical practice.  Recommendations of the second joint task force of the European Society of Cardiology, European Atherosclerosis Society and European Society of Hypertension.  Eur Heart J 1998;19:1434-503</t>
  </si>
  <si>
    <t xml:space="preserve">Risk of CHD event in Familial Hypercholesterolaemia by ages 50, 60 and 70 in Men is 51%, 85% and 100%, in Women 12%, 57%, 74% </t>
  </si>
  <si>
    <t>Change in risk of CHD event</t>
  </si>
  <si>
    <t>"Ideal" 10 year risk of CHD event at this age</t>
  </si>
  <si>
    <t>Change in risk of Stroke</t>
  </si>
  <si>
    <t>Guidance "rules"</t>
  </si>
  <si>
    <t>HDL</t>
  </si>
  <si>
    <t>BP</t>
  </si>
  <si>
    <t>AF</t>
  </si>
  <si>
    <t>TC (FH)</t>
  </si>
  <si>
    <t>If Total Cholesterol &gt;7.5, consider FH</t>
  </si>
  <si>
    <t>If HDL &lt;0.9, risk of atheroma is increased</t>
  </si>
  <si>
    <t>CHD risk calculation not valid if patient has FH (suggested by TC &gt;7.5) or known CHD</t>
  </si>
  <si>
    <t>Exercise Time</t>
  </si>
  <si>
    <t>min</t>
  </si>
  <si>
    <t>Maximum ST deviation</t>
  </si>
  <si>
    <t>Angina score during ExECG</t>
  </si>
  <si>
    <t>0:None, 1:Non-Limiting, 2: Exercise Limiting</t>
  </si>
  <si>
    <t>Duke Treadmill Score</t>
  </si>
  <si>
    <t>Points</t>
  </si>
  <si>
    <t>Probability of Significant CHD</t>
  </si>
  <si>
    <t>Probability of Severe CHD</t>
  </si>
  <si>
    <t>probability of 3 vessel CHD or &gt;75% LMS</t>
  </si>
  <si>
    <t>5yr Mortality</t>
  </si>
  <si>
    <t>Mark DB et al  NEJM 1991;325:849-53 and Ann Intern Med 1987;106:793-800</t>
  </si>
  <si>
    <t>Shaw LJ et al  Circulation 1998;98:1622-30</t>
  </si>
  <si>
    <t>Duke Treadmill Score: Predictions of CHD in a patient with chest pain undergoing ExECG</t>
  </si>
  <si>
    <t>HDL cholesterol</t>
  </si>
  <si>
    <t>Hypertension</t>
  </si>
  <si>
    <t>Validity of CHD Risk calculation</t>
  </si>
  <si>
    <t>Hypercholesterolaemia</t>
  </si>
  <si>
    <t>35-85 yrs</t>
  </si>
  <si>
    <t>Overall risk subcategory</t>
  </si>
  <si>
    <t>mm (always a +ve figure, no matter if +ve or -ve deviation)</t>
  </si>
  <si>
    <t>probability of &gt;75% stenosis in at least 1 coronary artery</t>
  </si>
  <si>
    <t>Precipitated by exercise</t>
  </si>
  <si>
    <t>Brief duration (2-15min)</t>
  </si>
  <si>
    <t>Relieved promptly by rest or GTN</t>
  </si>
  <si>
    <t>Retrosternal</t>
  </si>
  <si>
    <t>Radiating to jaw, neck or L arm</t>
  </si>
  <si>
    <t>Absence of other cause</t>
  </si>
  <si>
    <t>Sex</t>
  </si>
  <si>
    <t>Diabetes</t>
  </si>
  <si>
    <t>Previous MI</t>
  </si>
  <si>
    <t>ECG: Q waves</t>
  </si>
  <si>
    <t>ECG: ST changes at rest</t>
  </si>
  <si>
    <t>(&gt;75% stenosis of at least 1 major coronary artery)</t>
  </si>
  <si>
    <t>Angina score</t>
  </si>
  <si>
    <t>Angina type</t>
  </si>
  <si>
    <t>Angina: Typical</t>
  </si>
  <si>
    <t>Angina: Atypical</t>
  </si>
  <si>
    <t>Hypercholesterolaemia: TC&gt;6.5</t>
  </si>
  <si>
    <t>Age*Sex</t>
  </si>
  <si>
    <t>Age*Smoking</t>
  </si>
  <si>
    <t>Age*Hyperchol</t>
  </si>
  <si>
    <t>Sex*Smoking</t>
  </si>
  <si>
    <t>MI*Q</t>
  </si>
  <si>
    <t>Interactions</t>
  </si>
  <si>
    <t>x</t>
  </si>
  <si>
    <t>e-x</t>
  </si>
  <si>
    <t>1/(1+e-x)</t>
  </si>
  <si>
    <t>Duke Clinical Score: Prediction of CHD in a patient with chest pain</t>
  </si>
  <si>
    <t>0=M, 1=F</t>
  </si>
  <si>
    <t>Framingham Risk Calculations: "Ideal" risk</t>
  </si>
  <si>
    <t>Guidelines</t>
  </si>
  <si>
    <t>from</t>
  </si>
  <si>
    <t>Advice</t>
  </si>
  <si>
    <t>If SBP 140-159,consider drug Rx if CHD risk &gt;15% or DM, CV complications or Target Organ Damage(eg LVH), but if SBP &gt;=160 consider drug Rx for Hypertension: Target&lt;140/90</t>
  </si>
  <si>
    <r>
      <t>Drug treatment for Hypertension should be considered if [BP</t>
    </r>
    <r>
      <rPr>
        <sz val="8"/>
        <rFont val="Symbol"/>
        <family val="1"/>
      </rPr>
      <t xml:space="preserve"> &gt;=</t>
    </r>
    <r>
      <rPr>
        <sz val="8"/>
        <rFont val="Arial"/>
        <family val="2"/>
      </rPr>
      <t xml:space="preserve">160/100], OR if [BP &gt;=140/90 AND {CHD Risk &gt;15% OR (target organ damage (eg LVH) or diabetes or CV complications)}] </t>
    </r>
  </si>
  <si>
    <t>West Hertfordshire Cardiology, Hemel Hempstead Hospital, Herts  HP2 4AD</t>
  </si>
  <si>
    <t>NOTE: This score is not applicable if patient is known to have CHD</t>
  </si>
  <si>
    <t>(limits are 35-74 for CHD risk, 55-85 for Stroke risk)</t>
  </si>
  <si>
    <t>(if unknown use Male=1.1, Female=1.4)</t>
  </si>
  <si>
    <t>HDL Cholesterol</t>
  </si>
  <si>
    <r>
      <t>ECG LVH ?</t>
    </r>
    <r>
      <rPr>
        <sz val="8"/>
        <rFont val="Arial"/>
        <family val="2"/>
      </rPr>
      <t xml:space="preserve">   </t>
    </r>
  </si>
  <si>
    <t>(if unknown, try 0=N and 1=Y to see range of risk)</t>
  </si>
  <si>
    <r>
      <t xml:space="preserve">Anticoagulation in AF </t>
    </r>
    <r>
      <rPr>
        <sz val="8"/>
        <rFont val="Arial"/>
        <family val="2"/>
      </rPr>
      <t>to reduce risk of Stroke</t>
    </r>
  </si>
  <si>
    <t xml:space="preserve">NOTE: The CHD risk calculation is invalid if patient has CHD or FH.  The Stroke risk calculation is invalid if patient has already had a TIA/CVA  </t>
  </si>
  <si>
    <t>Risk may be about 30% higher in Asians, and may be lower in Southern Mediterranean people</t>
  </si>
  <si>
    <t xml:space="preserve">"Ideal" CHD risk is obtained with: Total Cholesterol &lt;4.1, HDL=1.2 (Male), 1.4 (Female), SBP&lt;120, Non smoker, no Diabetes and no ECG LVH </t>
  </si>
  <si>
    <t>To use a Risk Calculator, click on a button</t>
  </si>
  <si>
    <t>Best viewed in 1024x768 screen resolution or higher</t>
  </si>
  <si>
    <t>Calculated 10 year risk of Cardiovascular event</t>
  </si>
  <si>
    <t>People with an absolute risk of &gt;=15% should be considered for treatment with Aspirin, unless C/I</t>
  </si>
  <si>
    <t>Patient with ST elevation MI</t>
  </si>
  <si>
    <t xml:space="preserve"> = Chest pain &gt; 30min, symptom onset &lt;6hrs ago, ST elevation, no contraindication to thrombolysis</t>
  </si>
  <si>
    <t>HISTORY</t>
  </si>
  <si>
    <t>(years)</t>
  </si>
  <si>
    <t>History of Angina</t>
  </si>
  <si>
    <t>(0=N, 1=Y)</t>
  </si>
  <si>
    <t>History of Hypertension</t>
  </si>
  <si>
    <t>History of Diabetes</t>
  </si>
  <si>
    <t>EXAMINATION</t>
  </si>
  <si>
    <t>Systolic Blood Pressure  &lt; 100</t>
  </si>
  <si>
    <t>Heart Rate &gt; 100</t>
  </si>
  <si>
    <t>Killip Class II-IV * (ie clinical heart failure)</t>
  </si>
  <si>
    <t>Weight &lt; 67 kg (&lt; 150 lb)</t>
  </si>
  <si>
    <t>PRESENTATION</t>
  </si>
  <si>
    <t>Anterior ST Elevation or LBBB</t>
  </si>
  <si>
    <t>Time to treatment &gt; 4 hours</t>
  </si>
  <si>
    <t>Total Risk Score</t>
  </si>
  <si>
    <t>Risk of Death by 30 Days</t>
  </si>
  <si>
    <t>see www.timi.tv</t>
  </si>
  <si>
    <t>* Killip Classes</t>
  </si>
  <si>
    <t>II   : Bilateral crackles in up to 50% of lung fields, isolated S3</t>
  </si>
  <si>
    <t>III  : Bilateral crackles in all lung fields, acute Mitral Regurgitation</t>
  </si>
  <si>
    <t>RISK CALCULATORS</t>
  </si>
  <si>
    <t>Assessment of risk in 1y Prevention</t>
  </si>
  <si>
    <t>TIMI Risk Score for Acute Coronary Syndrome (UA / NSTEMI)</t>
  </si>
  <si>
    <t>Patient with Unstable Angina (UA) or non-ST elevation MI (NSTEMI)</t>
  </si>
  <si>
    <t xml:space="preserve"> = ischaemic pain within past 24hrs with ST deviation and/or +ve cardiac marker</t>
  </si>
  <si>
    <t>Age (years)</t>
  </si>
  <si>
    <t>Current Smoker</t>
  </si>
  <si>
    <t>History of Hypercholesterolemia (TC &gt; 5mmol/l)</t>
  </si>
  <si>
    <t>Family History of Coronary Artery Disease</t>
  </si>
  <si>
    <t>Prior angiographic stenosis &gt;50%</t>
  </si>
  <si>
    <t>Use of aspirin within the last 7 days</t>
  </si>
  <si>
    <t>Severe anginal symptoms (&gt;= 2 episodes of rest pain in past 24 hours)</t>
  </si>
  <si>
    <t>ST deviation (horizontal ST depression or transient ST elevation &gt;= 1 mm)</t>
  </si>
  <si>
    <t>Elevated cardiac markers (either CKMB or cardiac troponin)</t>
  </si>
  <si>
    <t>Total Risk Score (0-7)</t>
  </si>
  <si>
    <t>Risk of Death/MI by 14 Days</t>
  </si>
  <si>
    <t>Risk of Death/MI/Urgent Revascularization by 14 Days</t>
  </si>
  <si>
    <t>from TIMI 11B trial : Antman et al  JAMA 2000;284:835-842</t>
  </si>
  <si>
    <t>Risk of Cardiac Death or MI at 5 months</t>
  </si>
  <si>
    <t>Exercise ECG</t>
  </si>
  <si>
    <t>Troponin T</t>
  </si>
  <si>
    <t>Result</t>
  </si>
  <si>
    <t>ExECG Risk category</t>
  </si>
  <si>
    <t>&gt;0.2mg/l</t>
  </si>
  <si>
    <t>0.2-0.06mg/l</t>
  </si>
  <si>
    <t>&lt;0.06mg/l</t>
  </si>
  <si>
    <t>High Risk</t>
  </si>
  <si>
    <r>
      <t>EITHER</t>
    </r>
    <r>
      <rPr>
        <sz val="10"/>
        <rFont val="Arial"/>
        <family val="2"/>
      </rPr>
      <t xml:space="preserve"> a low maximal workload achieved,                  </t>
    </r>
    <r>
      <rPr>
        <b/>
        <sz val="10"/>
        <rFont val="Arial"/>
        <family val="2"/>
      </rPr>
      <t>OR</t>
    </r>
    <r>
      <rPr>
        <sz val="10"/>
        <rFont val="Arial"/>
        <family val="2"/>
      </rPr>
      <t xml:space="preserve"> ST depression &gt;= 0.1mV in &gt;= 3 leads</t>
    </r>
  </si>
  <si>
    <t>Intermediate Risk</t>
  </si>
  <si>
    <t>Low Risk</t>
  </si>
  <si>
    <r>
      <t>Unable</t>
    </r>
    <r>
      <rPr>
        <sz val="10"/>
        <rFont val="Arial"/>
        <family val="2"/>
      </rPr>
      <t xml:space="preserve"> to perform exercise ECG</t>
    </r>
  </si>
  <si>
    <t>?</t>
  </si>
  <si>
    <t>Lindahl B, Andren B, Ohlsson J, Venge P, Wallentin L and the FRISC Study Group.  Risk stratification in unstable coronary artery disease.  Additive value of troponin T determinations and predischarge exercise tests.  Eur Heart J 1997; 18: 762-70.</t>
  </si>
  <si>
    <t>Guidelines for the management of patients with acute coronary syndromes without persistent ECG ST segment elevation.   Heart 2000;85:133-142</t>
  </si>
  <si>
    <r>
      <t xml:space="preserve">Low maximal workload (Less than Bruce II, &lt;=3min), </t>
    </r>
    <r>
      <rPr>
        <b/>
        <sz val="10"/>
        <rFont val="Arial"/>
        <family val="2"/>
      </rPr>
      <t>AND</t>
    </r>
    <r>
      <rPr>
        <sz val="10"/>
        <rFont val="Arial"/>
        <family val="2"/>
      </rPr>
      <t xml:space="preserve"> ST depression &gt;= 0.1mV in &gt;= 3 leads</t>
    </r>
  </si>
  <si>
    <r>
      <t xml:space="preserve">Note:  The confidence intervals for the quoted risk of cardiac death or myocardial infarction </t>
    </r>
    <r>
      <rPr>
        <sz val="8"/>
        <rFont val="Arial"/>
        <family val="2"/>
      </rPr>
      <t>will be wide and may overlap for many of these categories.  Furthermore, the results of Troponins and Exercise ECG tests are continuous rather than categorical variables, and should be interpreted accordingly.  Thus these categories should be interpreted as indicating the general degree of cardiac risk, rather than a precise figure.</t>
    </r>
  </si>
  <si>
    <t>Initial Risk in ST elevation MI</t>
  </si>
  <si>
    <t>Risk of Stroke in AF (Warfarin/Aspirin)</t>
  </si>
  <si>
    <t>Annual Risk of Stroke in non-valvular AF</t>
  </si>
  <si>
    <t>Group</t>
  </si>
  <si>
    <t>UnRx</t>
  </si>
  <si>
    <t>Aspirin</t>
  </si>
  <si>
    <t>Warfarin</t>
  </si>
  <si>
    <t>NNT</t>
  </si>
  <si>
    <t>Previous TIA/Stroke</t>
  </si>
  <si>
    <t>Mod Risk</t>
  </si>
  <si>
    <t>NNT=Number needed to treat with Warfarin instead of Aspirin for 1 year to prevent 1 stroke</t>
  </si>
  <si>
    <t>Annual risk of major bleed</t>
  </si>
  <si>
    <t>- Previous TIA/Stroke</t>
  </si>
  <si>
    <t>- &gt;65yrs</t>
  </si>
  <si>
    <t>- Hypertension</t>
  </si>
  <si>
    <t>- Diabetes</t>
  </si>
  <si>
    <t>- Heart Failure</t>
  </si>
  <si>
    <t>- Echo LV dysfunction</t>
  </si>
  <si>
    <t>- Echo MV calcification</t>
  </si>
  <si>
    <t>References</t>
  </si>
  <si>
    <t>&gt;65 + Risk Factor(s)*</t>
  </si>
  <si>
    <t>&gt;65 + No Risk Factor(s)*</t>
  </si>
  <si>
    <t>&lt;65 + Risk Factor(s)*</t>
  </si>
  <si>
    <t>&lt;65 + No Risk Factors*</t>
  </si>
  <si>
    <t>* Risk factors for thromboembolic stroke</t>
  </si>
  <si>
    <t>- (Echo LA&gt;5cm) - not very predictive</t>
  </si>
  <si>
    <t>2-3%</t>
  </si>
  <si>
    <t>4-6%</t>
  </si>
  <si>
    <t>5-8%</t>
  </si>
  <si>
    <t>3-5%</t>
  </si>
  <si>
    <t>2-4%</t>
  </si>
  <si>
    <t>1-2%</t>
  </si>
  <si>
    <t>IV : Cardiogenic shock - Pulmonary Oedema, Systolic BP &lt;90, poor urine output</t>
  </si>
  <si>
    <r>
      <t xml:space="preserve">Low maximal workload exceeded,                         </t>
    </r>
    <r>
      <rPr>
        <b/>
        <sz val="10"/>
        <rFont val="Arial"/>
        <family val="2"/>
      </rPr>
      <t>AND without</t>
    </r>
    <r>
      <rPr>
        <sz val="10"/>
        <rFont val="Arial"/>
        <family val="2"/>
      </rPr>
      <t xml:space="preserve"> ST depression &gt;= 0.1mV in &gt;= 3 leads</t>
    </r>
  </si>
  <si>
    <t>CHADS2 Risk Score</t>
  </si>
  <si>
    <t>Risk</t>
  </si>
  <si>
    <t>(Y=1, N=0)</t>
  </si>
  <si>
    <t>Risk Score</t>
  </si>
  <si>
    <r>
      <t>A</t>
    </r>
    <r>
      <rPr>
        <b/>
        <sz val="10"/>
        <rFont val="Arial"/>
        <family val="2"/>
      </rPr>
      <t>ge &gt;=75</t>
    </r>
  </si>
  <si>
    <r>
      <t>D</t>
    </r>
    <r>
      <rPr>
        <b/>
        <sz val="10"/>
        <rFont val="Arial"/>
        <family val="2"/>
      </rPr>
      <t>iabetes</t>
    </r>
  </si>
  <si>
    <t>(0 - 6)</t>
  </si>
  <si>
    <t>Serum creatinine &gt; 200 µmol/ L</t>
  </si>
  <si>
    <t>C.O.P.D.</t>
  </si>
  <si>
    <t>Surgery on thoracic aorta</t>
  </si>
  <si>
    <t>Extracardiac arteriopathy</t>
  </si>
  <si>
    <t>Neurological dysfunction</t>
  </si>
  <si>
    <t>Active endocarditis</t>
  </si>
  <si>
    <t>Critical preoperative state</t>
  </si>
  <si>
    <t>Unstable angina</t>
  </si>
  <si>
    <t>Recent myocardial infarction (&lt; 90 days)</t>
  </si>
  <si>
    <t>Systolic PAP &gt; 60 mmHg</t>
  </si>
  <si>
    <t>Previous cardiac surgery</t>
  </si>
  <si>
    <t>Postinfarct. septal rupture</t>
  </si>
  <si>
    <t>Other than isolated C.A.B.G.</t>
  </si>
  <si>
    <t>Developmental dataset n=13,302</t>
  </si>
  <si>
    <t>Validation dataset n=1,479  (ROC=0.76)</t>
  </si>
  <si>
    <t>Emergency (within 24hrs)</t>
  </si>
  <si>
    <t>yrs</t>
  </si>
  <si>
    <t>Logit</t>
  </si>
  <si>
    <t>e^(logit)</t>
  </si>
  <si>
    <t>Sum betas</t>
  </si>
  <si>
    <t>e^(logit)/(1+e^logit)</t>
  </si>
  <si>
    <t xml:space="preserve">0=N, 1=Y </t>
  </si>
  <si>
    <t>Calculations</t>
  </si>
  <si>
    <t>Initial Risk in Unstable Angina</t>
  </si>
  <si>
    <t>or non-ST elevation MI</t>
  </si>
  <si>
    <t>Pre-test probability of CHD</t>
  </si>
  <si>
    <t>Post-test probability of CHD</t>
  </si>
  <si>
    <t>in stable Chest Pain</t>
  </si>
  <si>
    <t>Risk in Acute Coronary Syndrome</t>
  </si>
  <si>
    <t xml:space="preserve"> using ExECG+TnT</t>
  </si>
  <si>
    <t>Risk of Cardiac Surgery</t>
  </si>
  <si>
    <t>Obesity</t>
  </si>
  <si>
    <t>Smoker</t>
  </si>
  <si>
    <t>Family History of CHD</t>
  </si>
  <si>
    <t>Aortic Valve Disease</t>
  </si>
  <si>
    <t>Mitral Valve Disease</t>
  </si>
  <si>
    <t>LV Aneurysm</t>
  </si>
  <si>
    <t>Preop IABP</t>
  </si>
  <si>
    <t>Parsonnet predicted 30 day mortality</t>
  </si>
  <si>
    <t>1/(1+e^-logit)</t>
  </si>
  <si>
    <t>e^-(logit)</t>
  </si>
  <si>
    <t>TYPE OF SURGERY</t>
  </si>
  <si>
    <t>CLINICAL RISKS</t>
  </si>
  <si>
    <t>E,P</t>
  </si>
  <si>
    <t>E</t>
  </si>
  <si>
    <t>EUROSCORE &amp; Parsonnet Logistic risk assessments of cardiac surgery</t>
  </si>
  <si>
    <t>CLINICAL FEATURES &amp; COMORBIDITY</t>
  </si>
  <si>
    <t>2:&lt;30%, 1:30-49%, 0:&gt;=50%</t>
  </si>
  <si>
    <t>EUROSCORE</t>
  </si>
  <si>
    <t>Parsonnet</t>
  </si>
  <si>
    <t>EUROSCORE Definitions</t>
  </si>
  <si>
    <t>Patient Choice Initiative Priority Score for Coronary Surgery</t>
  </si>
  <si>
    <t>ANGINA</t>
  </si>
  <si>
    <t>Asymptomatic</t>
  </si>
  <si>
    <t>CCS1 - No limitation of ordinary physical activity</t>
  </si>
  <si>
    <t>CCS2 - Ordinary physical activity causes discomfort</t>
  </si>
  <si>
    <t>Score</t>
  </si>
  <si>
    <t>SYMPTOM STABILITY</t>
  </si>
  <si>
    <t>LV FUNCTION</t>
  </si>
  <si>
    <t>Total Score</t>
  </si>
  <si>
    <t>ANGINA OR MEASUREMENT OF ISCHAEMIA</t>
  </si>
  <si>
    <t>CORONARY ANATOMY</t>
  </si>
  <si>
    <t xml:space="preserve">Cardiologists should fill in a scoring system to identify patient suitability for the choice initiative at the time of referral to surgeon </t>
  </si>
  <si>
    <t>The scoring system is a guide and an aid to decision making and the judgement of clinicians will be paramount.</t>
  </si>
  <si>
    <t>&amp; ISCHAEMIA</t>
  </si>
  <si>
    <t>CCS3 - Moderate to great limitation of ordinary phusical activity</t>
  </si>
  <si>
    <t>CCS4 - Almost any activity causes discomfort.  Angina at rest.  Nocturnal angina</t>
  </si>
  <si>
    <t>Equivocal Exercise test or Thallium scan</t>
  </si>
  <si>
    <t>Normal  Exercise test or Thallium scan</t>
  </si>
  <si>
    <t>Positive Exercise test or Thallium scan</t>
  </si>
  <si>
    <t>Strongly Positive Exercise test or Thallium scan</t>
  </si>
  <si>
    <t>STABILITY</t>
  </si>
  <si>
    <t>Stable on medication</t>
  </si>
  <si>
    <t>Recent deterioration or angina at rest</t>
  </si>
  <si>
    <t>Nocturnal angina</t>
  </si>
  <si>
    <t>COR ANAT</t>
  </si>
  <si>
    <t>Good (EF&gt;50%)</t>
  </si>
  <si>
    <t>Fair (EF 30-50%)</t>
  </si>
  <si>
    <t>Poor (EF&lt;30%)</t>
  </si>
  <si>
    <t>LMS &gt;50%</t>
  </si>
  <si>
    <t>LMS &gt;50%: L dominant or occluded R</t>
  </si>
  <si>
    <t>3VD without proximal LAD stenosis</t>
  </si>
  <si>
    <t>3VD with proximal LAD stenosis</t>
  </si>
  <si>
    <t>2VD with proximal LAD stenosis</t>
  </si>
  <si>
    <t>1-2VD without LAD stenosis</t>
  </si>
  <si>
    <t>Proximal LAD stenosis only (1VD)</t>
  </si>
  <si>
    <t>LV Ejection Fraction</t>
  </si>
  <si>
    <t>"Choice" Priority for CABG</t>
  </si>
  <si>
    <r>
      <t>Score between 20 – 30</t>
    </r>
    <r>
      <rPr>
        <sz val="9"/>
        <rFont val="Arial"/>
        <family val="2"/>
      </rPr>
      <t xml:space="preserve"> : Patient will probably also be suitable for choice </t>
    </r>
  </si>
  <si>
    <r>
      <t>Score less than 20</t>
    </r>
    <r>
      <rPr>
        <sz val="9"/>
        <rFont val="Arial"/>
        <family val="2"/>
      </rPr>
      <t xml:space="preserve"> :         Patient should be suitable for choice and should be informed at the time they see their cardiologist.</t>
    </r>
  </si>
  <si>
    <r>
      <t>Score more than 30</t>
    </r>
    <r>
      <rPr>
        <sz val="9"/>
        <rFont val="Arial"/>
        <family val="2"/>
      </rPr>
      <t xml:space="preserve"> :       Patient’s suitability for choice less easily determined by scoring system.</t>
    </r>
  </si>
  <si>
    <t xml:space="preserve">                                              Clinician will need to make a judgement on an individual patient basis.</t>
  </si>
  <si>
    <t>Euroscore sum betas</t>
  </si>
  <si>
    <t>=(IF(C2&gt;59,(C2-59)*0.0666354,0))+(C3*0.3304052)+(C28*0.7127953)+(C15*0.6521653)+IF(C14&gt;0,IF(C14=1,0.4191643,1.094443),0)+(C16*0.4931341)+(C30*1.159787)</t>
  </si>
  <si>
    <t>+(C24*0.6558917)+(C23*0.841626)+(C22*1.101265)+(C26*0.9058132)+(C18*0.5677075)+(C19*0.5460218)+(C17*0.7676924)+(C25*1.002625)+(C31*1.462009)+(C29*0.5420364)</t>
  </si>
  <si>
    <t>Parsonnet sum betas</t>
  </si>
  <si>
    <t>=(C2*0.054)+(C3*0.509)+(C5*0.089)+(C6*0.083)+(C7*0.263)+(C8*0.456)+(C9*-0.271)+(C10*-0.065)+IF(C14&gt;0,IF(C14=1,0.542,0.813),0.271)+(C12*0.235)+(C13*0.835)</t>
  </si>
  <si>
    <t>+(C20*-0.553)+(C21*1.473)+(C26*1.455)+(C25*0.893)+(IF(C29=0,-0.588,0.647))</t>
  </si>
  <si>
    <t>TIMI Risk Score for ST Elevation Acute MI (STEMI)</t>
  </si>
  <si>
    <t xml:space="preserve"> on the abdominal aorta, limb arteries or carotids.</t>
  </si>
  <si>
    <r>
      <t>Critical preoperative state</t>
    </r>
    <r>
      <rPr>
        <sz val="8"/>
        <rFont val="Arial"/>
        <family val="2"/>
      </rPr>
      <t xml:space="preserve"> : any one or more of the following : ventricular tachycardia or fibrillation or aborted sudden death, preoperative cardiac massage,</t>
    </r>
  </si>
  <si>
    <r>
      <t>COPD</t>
    </r>
    <r>
      <rPr>
        <sz val="8"/>
        <rFont val="Arial"/>
        <family val="2"/>
      </rPr>
      <t xml:space="preserve"> : longterm use of bronchodilators or steroids for lung disease.</t>
    </r>
  </si>
  <si>
    <r>
      <t>Extracardiac arteriopathy</t>
    </r>
    <r>
      <rPr>
        <sz val="8"/>
        <rFont val="Arial"/>
        <family val="2"/>
      </rPr>
      <t xml:space="preserve"> : any one or more of the following : claudication, carotid occlusion or &gt; 50% stenosis, previous or planned intervention</t>
    </r>
  </si>
  <si>
    <r>
      <t>Neurological dysfunction</t>
    </r>
    <r>
      <rPr>
        <sz val="8"/>
        <rFont val="Arial"/>
        <family val="2"/>
      </rPr>
      <t xml:space="preserve"> : disease severely affecting ambulation or day-to-day functioning.</t>
    </r>
  </si>
  <si>
    <r>
      <t xml:space="preserve">Previous cardiac surgery </t>
    </r>
    <r>
      <rPr>
        <sz val="8"/>
        <rFont val="Arial"/>
        <family val="2"/>
      </rPr>
      <t>: requiring opening of the pericardium.</t>
    </r>
  </si>
  <si>
    <r>
      <t>Active endocarditis</t>
    </r>
    <r>
      <rPr>
        <sz val="8"/>
        <rFont val="Arial"/>
        <family val="2"/>
      </rPr>
      <t xml:space="preserve"> : patient still under antibiotic treatment for endocarditis at the time of surgery.</t>
    </r>
  </si>
  <si>
    <t>preoperative ventilation before arrival in the anaesthetic room, preoperative inotropic support, intraaortic balloon counterpulsation or preoperative acute renal failure (anuria or oliguria , 10 mL/h).</t>
  </si>
  <si>
    <r>
      <t xml:space="preserve">Unstable angina </t>
    </r>
    <r>
      <rPr>
        <sz val="8"/>
        <rFont val="Arial"/>
        <family val="2"/>
      </rPr>
      <t>: rest angina requiring IV nitrates until arrival in the anaesthetic room.</t>
    </r>
  </si>
  <si>
    <r>
      <t>Emergency</t>
    </r>
    <r>
      <rPr>
        <sz val="8"/>
        <rFont val="Arial"/>
        <family val="2"/>
      </rPr>
      <t xml:space="preserve"> : carried out on referral before the beginning of the next working day.</t>
    </r>
  </si>
  <si>
    <r>
      <t>Surgery on thoracic aorta</t>
    </r>
    <r>
      <rPr>
        <sz val="8"/>
        <rFont val="Arial"/>
        <family val="2"/>
      </rPr>
      <t xml:space="preserve"> : for disorder of ascending, arch, or descending aorta.</t>
    </r>
  </si>
  <si>
    <r>
      <t>Other than isolated C.A.B.G</t>
    </r>
    <r>
      <rPr>
        <sz val="8"/>
        <rFont val="Arial"/>
        <family val="2"/>
      </rPr>
      <t>. : major cardiac procedure other than or in addition to C.A.B.G.</t>
    </r>
  </si>
  <si>
    <t xml:space="preserve">   Training sample n=1422, Validation sample n=1420</t>
  </si>
  <si>
    <t xml:space="preserve">   Training sample n=2758, Validation sample n=467</t>
  </si>
  <si>
    <t xml:space="preserve">   Study dataset n=2842 (ExECG within 6 weeks of Cor Angio)</t>
  </si>
  <si>
    <t xml:space="preserve">   70% Male, median age 49yr (10-90% centiles 37-60)</t>
  </si>
  <si>
    <t xml:space="preserve">   Study dataset n=2758 (ExECG within 6 weeks of Cor Angio)</t>
  </si>
  <si>
    <t xml:space="preserve">   70% Male, median age 49yr, 30% prior MI, 47% typical angina, 61% had significant CHD at Angio</t>
  </si>
  <si>
    <t>ROC for predicting significant CHD = 0.76 for DTS, 0.91 for post-test DTS + Clinical score</t>
  </si>
  <si>
    <r>
      <t>References:</t>
    </r>
    <r>
      <rPr>
        <sz val="8"/>
        <rFont val="Arial"/>
        <family val="2"/>
      </rPr>
      <t xml:space="preserve">   </t>
    </r>
  </si>
  <si>
    <t xml:space="preserve">   Study dataset n=5438 (67% had significant CHD at Angio)</t>
  </si>
  <si>
    <t>Extending Choice for patients: Information &amp; Advice on establishing the Heart Surgery Scheme  DoH 2002</t>
  </si>
  <si>
    <t>www.doh.gov.uk/extendingchoice/index.htm</t>
  </si>
  <si>
    <t>Select one value from each drop-down list, to calculate priority score and indicate suitability</t>
  </si>
  <si>
    <t>Nashef SAM et al.  European system for cardiac operative risk evaluation (EuroSCORE).  European Journal of Cardio-thoracic Surgery 1999;16:9-13</t>
  </si>
  <si>
    <t>Parsonnet V et al. A method of uniform stratification of risk for evaluating the results of surgery in acquired adult heart disease. Circulation. 1989;79:I 3-12</t>
  </si>
  <si>
    <r>
      <t>C</t>
    </r>
    <r>
      <rPr>
        <b/>
        <sz val="10"/>
        <rFont val="Arial"/>
        <family val="2"/>
      </rPr>
      <t xml:space="preserve">ongestive Heart Failure </t>
    </r>
    <r>
      <rPr>
        <sz val="10"/>
        <rFont val="Arial"/>
        <family val="2"/>
      </rPr>
      <t>(past or present)</t>
    </r>
  </si>
  <si>
    <r>
      <t>H</t>
    </r>
    <r>
      <rPr>
        <b/>
        <sz val="10"/>
        <rFont val="Arial"/>
        <family val="2"/>
      </rPr>
      <t xml:space="preserve">ypertension                   </t>
    </r>
    <r>
      <rPr>
        <sz val="10"/>
        <rFont val="Arial"/>
        <family val="2"/>
      </rPr>
      <t>(past or present)</t>
    </r>
  </si>
  <si>
    <r>
      <t>S</t>
    </r>
    <r>
      <rPr>
        <b/>
        <sz val="10"/>
        <rFont val="Arial"/>
        <family val="2"/>
      </rPr>
      <t>troke or TIA</t>
    </r>
    <r>
      <rPr>
        <sz val="10"/>
        <rFont val="Arial"/>
        <family val="2"/>
      </rPr>
      <t xml:space="preserve">                   (in past)</t>
    </r>
  </si>
  <si>
    <t>Selecting patients in AF who benefit most from anticoagulation with Warfarin</t>
  </si>
  <si>
    <t>(JAMA  2001,285:2864-2870)</t>
  </si>
  <si>
    <t>5-7%</t>
  </si>
  <si>
    <t>4-5%</t>
  </si>
  <si>
    <t>3-4%</t>
  </si>
  <si>
    <t>Very High Risk</t>
  </si>
  <si>
    <t>Table 1</t>
  </si>
  <si>
    <r>
      <t xml:space="preserve">Annual Risk of NOT having a Stroke in non-valvular AF </t>
    </r>
    <r>
      <rPr>
        <u val="single"/>
        <sz val="10"/>
        <rFont val="Arial"/>
        <family val="2"/>
      </rPr>
      <t>(Inverse of Table 1)</t>
    </r>
  </si>
  <si>
    <t>NNH=Number needed to harm by treating with Warfarin instead of Aspirin for 1 year (causing a major haemorrhage)</t>
  </si>
  <si>
    <t>Overall Annual Risk of Stroke+Major bleed</t>
  </si>
  <si>
    <t xml:space="preserve">So, combining "benefit" and "harm": </t>
  </si>
  <si>
    <t>SIGN recommendations (with grade of evidence)</t>
  </si>
  <si>
    <t xml:space="preserve">   thyrotoxicosis, intracardiac thrombus, or non-cerebral thromboembolism. (C)</t>
  </si>
  <si>
    <t>- Patients with AF but without additional Risk factors require no antithrombotic prophylaxis unless there are other indications for aspirin.(A)</t>
  </si>
  <si>
    <t>- Patients with one or more risk factors should be considered for warfarin therapy in preference to aspirin.(A)</t>
  </si>
  <si>
    <t>- Warfarin prophylaxis should also be considered in patients with atrial fibrillation and heart valve disease or prostheses,</t>
  </si>
  <si>
    <t>- The decision to use warfarin or not should be based on discussion of the balance of risk and benefit with each individual, including assessment of compliance.(B)</t>
  </si>
  <si>
    <t>- To minimise the risk of intracranial bleeding in patients on warfarin, hypertension should be controlled, compliance assessed,</t>
  </si>
  <si>
    <t xml:space="preserve">  and the risks and benefits of warfarin reviewed annually, especially in those aged over 75 years.(Good Practice)</t>
  </si>
  <si>
    <t>- Cardioversion to restore sinus rhythm should be considered in selected patients, because it may avoid the need for long term warfarin.(C)</t>
  </si>
  <si>
    <t>Other Evidence-based Notes</t>
  </si>
  <si>
    <t>BUT</t>
  </si>
  <si>
    <t>NNH=100</t>
  </si>
  <si>
    <r>
      <t>Annual risk of Stroke</t>
    </r>
    <r>
      <rPr>
        <sz val="8"/>
        <rFont val="Arial"/>
        <family val="2"/>
      </rPr>
      <t xml:space="preserve"> (rate per 100 pt-years)</t>
    </r>
  </si>
  <si>
    <t>Stroke Risk %</t>
  </si>
  <si>
    <t>(Y=2, N=0)</t>
  </si>
  <si>
    <t>An alternative way to express risk to patient when discussing whether to anticoagulate:</t>
  </si>
  <si>
    <t>see ACC/AHA/ESC Guidelines for the Management of Patients With Atrial Fibrillation  JACC 2001;38:1266i-lxx and European Heart Journal 2001;22: 1852–1923</t>
  </si>
  <si>
    <t>(www.acc.org/clinical/statements.htm)</t>
  </si>
  <si>
    <t>- Patients allergic to Aspirin should receive Clopidogrel 75mg od instead</t>
  </si>
  <si>
    <t>- If previous history of GI bleed, peptic ulcer or GORD, use PPI (rather than H2 antagonist) with Aspirin or Clopidogrel</t>
  </si>
  <si>
    <t xml:space="preserve">- Echocardiography is NOT helpful in diagnosing cause of TIA/Stroke in the absence of clinical evidence of cardiac pathology and risk factors </t>
  </si>
  <si>
    <t>- Echocardiography is NOT helpful in deciding need for anticoagulation after TIA/Stroke if patient is in AF: Warfarin is indicated!</t>
  </si>
  <si>
    <r>
      <t xml:space="preserve">SIGN - Antithrombotic Therapy Guidelines   </t>
    </r>
    <r>
      <rPr>
        <u val="single"/>
        <sz val="9"/>
        <rFont val="Arial"/>
        <family val="2"/>
      </rPr>
      <t>SIGN 1999 (No 36)</t>
    </r>
  </si>
  <si>
    <t>consider Warfarin, if just lone AF consider Aspirin</t>
  </si>
  <si>
    <t>Home</t>
  </si>
  <si>
    <t>Planned or actual change in risk factors</t>
  </si>
  <si>
    <t xml:space="preserve">Statin treatment for Hypercholesterolaemia should be considered if CHD Risk &gt;15-30% </t>
  </si>
  <si>
    <t>Risk of thromboembolic stroke in AF is reduced more by Warfarin than Aspirin if Previous TIA/CVA, or &gt;65yrs with additional risk factor(s) (risk then usually &gt;6%, reduced to &lt;5% on Warfarin)</t>
  </si>
  <si>
    <t xml:space="preserve">   P</t>
  </si>
  <si>
    <t>Gibbons et al. ACC/AHA/ACP-ASIM Chronic Stable Angina Guidelines    JACC 1999;33:2092–197</t>
  </si>
  <si>
    <r>
      <t>Smoking</t>
    </r>
    <r>
      <rPr>
        <sz val="10"/>
        <rFont val="Arial"/>
        <family val="2"/>
      </rPr>
      <t xml:space="preserve"> (within past 5 years)</t>
    </r>
  </si>
  <si>
    <r>
      <t xml:space="preserve">Age                          </t>
    </r>
    <r>
      <rPr>
        <b/>
        <sz val="8"/>
        <rFont val="Arial"/>
        <family val="2"/>
      </rPr>
      <t xml:space="preserve"> </t>
    </r>
    <r>
      <rPr>
        <sz val="8"/>
        <rFont val="Arial"/>
        <family val="2"/>
      </rPr>
      <t>(original data derived from ages 30-70)</t>
    </r>
  </si>
  <si>
    <t>Intermediate calculations (Duke)</t>
  </si>
  <si>
    <t>A</t>
  </si>
  <si>
    <t>B</t>
  </si>
  <si>
    <t xml:space="preserve">   Diamond GA, Forester JS. Analysis of probability as an aid in the clinical diagnosis of coronary-artery disease. NEJM 1979;300:1350-8</t>
  </si>
  <si>
    <t xml:space="preserve">   Chaitman BR et al  Angiographic prevalence of high-risk coronary artery disease in patient subsets (CASS). Circulation 1981;64:36-7</t>
  </si>
  <si>
    <r>
      <t xml:space="preserve">Probability of significant CHD </t>
    </r>
    <r>
      <rPr>
        <sz val="8"/>
        <rFont val="Arial"/>
        <family val="2"/>
      </rPr>
      <t>(Duke)</t>
    </r>
    <r>
      <rPr>
        <b/>
        <sz val="10"/>
        <rFont val="Arial"/>
        <family val="2"/>
      </rPr>
      <t>:</t>
    </r>
  </si>
  <si>
    <r>
      <t xml:space="preserve">Probability of significant CHD </t>
    </r>
    <r>
      <rPr>
        <sz val="8"/>
        <rFont val="Arial"/>
        <family val="2"/>
      </rPr>
      <t>(ACC/AHA Guidelines)</t>
    </r>
    <r>
      <rPr>
        <b/>
        <sz val="10"/>
        <rFont val="Arial"/>
        <family val="2"/>
      </rPr>
      <t>:</t>
    </r>
  </si>
  <si>
    <t>Pretest Likelihood of CHD in Symptomatic Patients According to Age and Sex</t>
  </si>
  <si>
    <t>Nonanginal Pain</t>
  </si>
  <si>
    <t>Chest Pain ? Cause</t>
  </si>
  <si>
    <t>Typical Angina</t>
  </si>
  <si>
    <t>Men</t>
  </si>
  <si>
    <t>Women</t>
  </si>
  <si>
    <t>Diamond GA, Forester JS. Analysis of probability as an aid in the clinical diagnosis of coronary-artery disease. N Engl J Med. 1979;300:1350 –1358.</t>
  </si>
  <si>
    <t>Chaitman BR, Bourassa MG, Davis K, Rogers WJ, Tyras DH, Berger R, Kennedy JW, Fisher L, Judkins MP, Mock MB, Killip T.</t>
  </si>
  <si>
    <t xml:space="preserve">   Angiographic prevalence of high-risk coronary artery disease in patient subsets (CASS). Circulation 1981;64:360 –367.</t>
  </si>
  <si>
    <t>Mean Age</t>
  </si>
  <si>
    <t>Chest Pain Categorised as:</t>
  </si>
  <si>
    <t>Exercise Test variables</t>
  </si>
  <si>
    <t>Intro!C2</t>
  </si>
  <si>
    <r>
      <t xml:space="preserve">Gibbons RJ et al. </t>
    </r>
    <r>
      <rPr>
        <b/>
        <sz val="8"/>
        <rFont val="Arial"/>
        <family val="2"/>
      </rPr>
      <t>ACC/AHA/ACP-ASIM Chronic Stable Angina Guidelines</t>
    </r>
    <r>
      <rPr>
        <sz val="8"/>
        <rFont val="Arial"/>
        <family val="2"/>
      </rPr>
      <t xml:space="preserve">    JACC 1999;33:2092–197</t>
    </r>
  </si>
  <si>
    <r>
      <t xml:space="preserve">Pryor DB et al (from </t>
    </r>
    <r>
      <rPr>
        <b/>
        <sz val="8"/>
        <rFont val="Arial"/>
        <family val="2"/>
      </rPr>
      <t>Duke University</t>
    </r>
    <r>
      <rPr>
        <sz val="8"/>
        <rFont val="Arial"/>
        <family val="2"/>
      </rPr>
      <t xml:space="preserve">) Estimating the likelihood of significant coronary artery disease  Am J Med 1983;75:771-80 </t>
    </r>
  </si>
  <si>
    <t xml:space="preserve">   Training sample n=3627, Validation sample n=1811    Study dataset n=5438 (67% had significant CHD at Angio)</t>
  </si>
  <si>
    <r>
      <t xml:space="preserve">Pryor DB et al (from </t>
    </r>
    <r>
      <rPr>
        <b/>
        <sz val="8"/>
        <rFont val="Arial"/>
        <family val="2"/>
      </rPr>
      <t>Duke University</t>
    </r>
    <r>
      <rPr>
        <sz val="8"/>
        <rFont val="Arial"/>
        <family val="2"/>
      </rPr>
      <t>) Value of the history and physical in identifying patients at increased risk for CAD  Ann Int Med 1993;118:81-90</t>
    </r>
  </si>
  <si>
    <t xml:space="preserve">   Study dataset n=1030 (168 had angio within 90 days, 109 had significant CHD)  (c-index 0.87)</t>
  </si>
  <si>
    <t>Only patients at high initial risk of stroke (&gt;6% absolute annual risk) are likely to achieve greater benefit from Warfarin than from Aspirin</t>
  </si>
  <si>
    <t>Warfarin (target INR 2.5, range 2.0-3.0) reduces relative stroke risk by 68%, Aspirin (75-300 mg/day) reduces relative stroke risk by 20%, compared to placebo.</t>
  </si>
  <si>
    <t>Normal</t>
  </si>
  <si>
    <t>Warfarin increases annual absolute risk of major haemorrhage by 2%, so</t>
  </si>
  <si>
    <t>If AF AND ((Annual stroke risk =&gt;6% so 10yr risk =&gt;60%) OR (presence of another risk factor {age &gt;75, Hypertension,Hypercholesterolaemia, Smoker, Diabetic or known CHD,CHF or PVD})</t>
  </si>
  <si>
    <t>Risk of Cardiac Death or MI at 5 months after Unstable Angina / ACS</t>
  </si>
  <si>
    <t>John.Bayliss@whht.nhs.uk</t>
  </si>
  <si>
    <t>EUROSCORE predicted mortality (logistic)</t>
  </si>
  <si>
    <t>- Adding Dipyridamole (Persantin) 200mg bd to Aspirin does not reduce the risk of recurrent TIA/Stroke (BMJ 2002;324:71-86). Consider Warfarin instead…</t>
  </si>
  <si>
    <t>Designed by Dr John Bayliss (1999-2002)  v11</t>
  </si>
  <si>
    <t xml:space="preserve">Framingham predictions of Risk of CHD Event and Risk of Stroke in Primary Prevention </t>
  </si>
  <si>
    <t>Designed by Dr John Bayliss (1999-2002)  v11               West Hertfordshire Cardiology, Hemel Hempstead Hospital, Herts  HP2 4AD</t>
  </si>
  <si>
    <t>Probability below which ExECG NOT indicated</t>
  </si>
  <si>
    <t>Probability above which ExECG indicated only for prognosis</t>
  </si>
  <si>
    <t>Set thresholds for advice regarding indication for ExECG</t>
  </si>
  <si>
    <t>Set thresholds for ExECG</t>
  </si>
  <si>
    <t>Designed by Dr John Bayliss (1999-2002)  v11                                                                                           West Hertfordshire Cardiology, Hemel Hempstead Hospital, Herts  HP2 4AD</t>
  </si>
  <si>
    <t>from InTIME II trial : Morrow DA et al  Circulation 2000;102:2031-7</t>
  </si>
  <si>
    <t>Designed by Dr John Bayliss (1999-2002)   v11                                                                                          West Hertfordshire Cardiology, Hemel Hempstead Hospital, Herts  HP2 4AD</t>
  </si>
  <si>
    <t>Designed by Dr John Bayliss (1999-2002)  v11                                                                                                                                                                  West Hertfordshire Cardiology, Hemel Hempstead Hospital, Herts  HP2 4AD</t>
  </si>
  <si>
    <t>Designed by Dr John Bayliss (1999-2002) v11</t>
  </si>
  <si>
    <t>Calculations in cells B100:F104 - DO NOT EDIT or DELETE!</t>
  </si>
  <si>
    <t>See also the Euroscore website</t>
  </si>
  <si>
    <t>Designed by Dr John Bayliss (1999-2002) v11                                                                                                                            West Hertfordshire Cardiology, Hemel Hempstead</t>
  </si>
  <si>
    <t>CHADS2</t>
  </si>
  <si>
    <t>SIGN</t>
  </si>
  <si>
    <t xml:space="preserve">    Designed by Dr John Bayliss (1999-2002) v11</t>
  </si>
  <si>
    <t xml:space="preserve"> Designed by Dr John Bayliss (1999-2002)    v11  26/10/2002                                </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</si>
</sst>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0000"/>
    <numFmt numFmtId="179" formatCode="#,##0.0%"/>
    <numFmt numFmtId="180" formatCode="0.0"/>
    <numFmt numFmtId="181" formatCode="0.000%"/>
    <numFmt numFmtId="182" formatCode="0.0%"/>
    <numFmt numFmtId="183" formatCode="mm/dd/yy"/>
    <numFmt numFmtId="184" formatCode="\+##0;\-###0"/>
    <numFmt numFmtId="185" formatCode="m/d/yy"/>
    <numFmt numFmtId="186" formatCode="0.0000"/>
    <numFmt numFmtId="187" formatCode="dd/mm/yy"/>
    <numFmt numFmtId="188" formatCode="\+0.0%;\-0.0%"/>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0.000"/>
    <numFmt numFmtId="195" formatCode="0.000000"/>
    <numFmt numFmtId="196" formatCode="0.0000000"/>
  </numFmts>
  <fonts count="47">
    <font>
      <sz val="10"/>
      <name val="Courier New"/>
      <family val="0"/>
    </font>
    <font>
      <b/>
      <sz val="10"/>
      <name val="Courier New"/>
      <family val="0"/>
    </font>
    <font>
      <i/>
      <sz val="10"/>
      <name val="Courier New"/>
      <family val="0"/>
    </font>
    <font>
      <b/>
      <i/>
      <sz val="10"/>
      <name val="Courier New"/>
      <family val="0"/>
    </font>
    <font>
      <b/>
      <u val="single"/>
      <sz val="10"/>
      <name val="Arial"/>
      <family val="2"/>
    </font>
    <font>
      <sz val="10"/>
      <name val="Arial"/>
      <family val="2"/>
    </font>
    <font>
      <b/>
      <sz val="10"/>
      <name val="Arial"/>
      <family val="2"/>
    </font>
    <font>
      <sz val="8"/>
      <name val="Arial"/>
      <family val="2"/>
    </font>
    <font>
      <b/>
      <u val="single"/>
      <sz val="12"/>
      <name val="Arial"/>
      <family val="2"/>
    </font>
    <font>
      <b/>
      <sz val="10"/>
      <color indexed="10"/>
      <name val="Arial"/>
      <family val="2"/>
    </font>
    <font>
      <sz val="10"/>
      <color indexed="10"/>
      <name val="Arial"/>
      <family val="2"/>
    </font>
    <font>
      <b/>
      <u val="single"/>
      <sz val="8"/>
      <name val="Arial"/>
      <family val="2"/>
    </font>
    <font>
      <sz val="8"/>
      <name val="Symbol"/>
      <family val="1"/>
    </font>
    <font>
      <sz val="6"/>
      <name val="Arial"/>
      <family val="2"/>
    </font>
    <font>
      <b/>
      <u val="single"/>
      <sz val="11"/>
      <name val="Arial"/>
      <family val="2"/>
    </font>
    <font>
      <sz val="12"/>
      <name val="Times New Roman"/>
      <family val="1"/>
    </font>
    <font>
      <i/>
      <sz val="10"/>
      <name val="Arial"/>
      <family val="2"/>
    </font>
    <font>
      <u val="single"/>
      <sz val="10"/>
      <color indexed="12"/>
      <name val="Courier New"/>
      <family val="0"/>
    </font>
    <font>
      <u val="single"/>
      <sz val="10"/>
      <color indexed="36"/>
      <name val="Courier New"/>
      <family val="0"/>
    </font>
    <font>
      <b/>
      <sz val="14"/>
      <name val="Arial"/>
      <family val="2"/>
    </font>
    <font>
      <sz val="9"/>
      <name val="Arial"/>
      <family val="2"/>
    </font>
    <font>
      <b/>
      <sz val="10"/>
      <color indexed="8"/>
      <name val="Arial"/>
      <family val="2"/>
    </font>
    <font>
      <b/>
      <sz val="10"/>
      <color indexed="43"/>
      <name val="Arial"/>
      <family val="2"/>
    </font>
    <font>
      <sz val="10"/>
      <color indexed="43"/>
      <name val="Arial"/>
      <family val="2"/>
    </font>
    <font>
      <sz val="10"/>
      <color indexed="8"/>
      <name val="Arial"/>
      <family val="2"/>
    </font>
    <font>
      <b/>
      <i/>
      <sz val="10"/>
      <color indexed="8"/>
      <name val="Arial"/>
      <family val="2"/>
    </font>
    <font>
      <u val="single"/>
      <sz val="10"/>
      <color indexed="12"/>
      <name val="Arial"/>
      <family val="2"/>
    </font>
    <font>
      <u val="single"/>
      <sz val="10"/>
      <name val="Arial"/>
      <family val="2"/>
    </font>
    <font>
      <u val="single"/>
      <sz val="8"/>
      <color indexed="12"/>
      <name val="Arial"/>
      <family val="2"/>
    </font>
    <font>
      <b/>
      <sz val="12"/>
      <name val="Arial"/>
      <family val="2"/>
    </font>
    <font>
      <b/>
      <sz val="8"/>
      <name val="Arial"/>
      <family val="2"/>
    </font>
    <font>
      <b/>
      <sz val="11"/>
      <name val="Arial"/>
      <family val="2"/>
    </font>
    <font>
      <sz val="8"/>
      <name val="Courier New"/>
      <family val="0"/>
    </font>
    <font>
      <sz val="8"/>
      <color indexed="8"/>
      <name val="Arial"/>
      <family val="2"/>
    </font>
    <font>
      <b/>
      <i/>
      <sz val="10"/>
      <name val="Arial"/>
      <family val="2"/>
    </font>
    <font>
      <sz val="8"/>
      <name val="Tahoma"/>
      <family val="2"/>
    </font>
    <font>
      <b/>
      <sz val="9"/>
      <name val="Arial"/>
      <family val="2"/>
    </font>
    <font>
      <b/>
      <u val="single"/>
      <sz val="11"/>
      <color indexed="8"/>
      <name val="Arial"/>
      <family val="2"/>
    </font>
    <font>
      <sz val="6"/>
      <name val="Courier New"/>
      <family val="0"/>
    </font>
    <font>
      <u val="single"/>
      <sz val="9"/>
      <name val="Arial"/>
      <family val="2"/>
    </font>
    <font>
      <b/>
      <sz val="8"/>
      <name val="HelveticaNeue-Condensed"/>
      <family val="0"/>
    </font>
    <font>
      <sz val="8"/>
      <name val="HelveticaNeue-Condensed"/>
      <family val="0"/>
    </font>
    <font>
      <u val="single"/>
      <sz val="10"/>
      <color indexed="43"/>
      <name val="Arial"/>
      <family val="2"/>
    </font>
    <font>
      <u val="single"/>
      <sz val="7"/>
      <color indexed="12"/>
      <name val="Arial"/>
      <family val="2"/>
    </font>
    <font>
      <b/>
      <sz val="10"/>
      <color indexed="9"/>
      <name val="Arial"/>
      <family val="2"/>
    </font>
    <font>
      <b/>
      <sz val="12"/>
      <color indexed="9"/>
      <name val="Arial"/>
      <family val="2"/>
    </font>
    <font>
      <b/>
      <u val="single"/>
      <sz val="10"/>
      <color indexed="12"/>
      <name val="Arial"/>
      <family val="2"/>
    </font>
  </fonts>
  <fills count="12">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22"/>
        <bgColor indexed="64"/>
      </patternFill>
    </fill>
    <fill>
      <patternFill patternType="darkUp">
        <fgColor indexed="9"/>
        <bgColor indexed="42"/>
      </patternFill>
    </fill>
    <fill>
      <patternFill patternType="solid">
        <fgColor indexed="42"/>
        <bgColor indexed="64"/>
      </patternFill>
    </fill>
    <fill>
      <patternFill patternType="solid">
        <fgColor indexed="10"/>
        <bgColor indexed="64"/>
      </patternFill>
    </fill>
  </fills>
  <borders count="70">
    <border>
      <left/>
      <right/>
      <top/>
      <bottom/>
      <diagonal/>
    </border>
    <border>
      <left style="medium"/>
      <right style="medium"/>
      <top>
        <color indexed="63"/>
      </top>
      <bottom style="thin"/>
    </border>
    <border>
      <left style="medium"/>
      <right style="medium"/>
      <top style="thin"/>
      <bottom style="thin"/>
    </border>
    <border>
      <left style="medium"/>
      <right style="medium"/>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style="medium"/>
      <top style="thin"/>
      <bottom style="thin"/>
    </border>
    <border>
      <left style="medium"/>
      <right style="thin"/>
      <top style="thin"/>
      <bottom style="thin"/>
    </border>
    <border>
      <left style="medium"/>
      <right>
        <color indexed="63"/>
      </right>
      <top style="thin"/>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style="thin"/>
      <bottom style="medium"/>
    </border>
    <border>
      <left style="medium"/>
      <right style="medium"/>
      <top style="medium"/>
      <bottom style="medium"/>
    </border>
    <border>
      <left>
        <color indexed="63"/>
      </left>
      <right>
        <color indexed="63"/>
      </right>
      <top style="thin">
        <color indexed="8"/>
      </top>
      <bottom style="thin"/>
    </border>
    <border>
      <left>
        <color indexed="63"/>
      </left>
      <right style="medium"/>
      <top style="medium"/>
      <bottom>
        <color indexed="63"/>
      </bottom>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medium"/>
      <bottom style="medium"/>
    </border>
    <border>
      <left style="medium"/>
      <right style="thin"/>
      <top style="medium"/>
      <bottom style="medium"/>
    </border>
    <border>
      <left style="thin"/>
      <right style="thin"/>
      <top style="medium"/>
      <bottom style="medium"/>
    </border>
    <border>
      <left>
        <color indexed="63"/>
      </left>
      <right style="thin"/>
      <top style="thin"/>
      <bottom style="medium"/>
    </border>
    <border>
      <left style="medium"/>
      <right>
        <color indexed="63"/>
      </right>
      <top style="medium"/>
      <bottom style="thin"/>
    </border>
    <border>
      <left style="thin"/>
      <right>
        <color indexed="63"/>
      </right>
      <top style="thin"/>
      <bottom style="thin">
        <color indexed="8"/>
      </bottom>
    </border>
    <border>
      <left style="thin"/>
      <right>
        <color indexed="63"/>
      </right>
      <top style="thin">
        <color indexed="8"/>
      </top>
      <bottom style="thin">
        <color indexed="8"/>
      </bottom>
    </border>
    <border>
      <left style="thin"/>
      <right>
        <color indexed="63"/>
      </right>
      <top style="thin">
        <color indexed="8"/>
      </top>
      <bottom>
        <color indexed="63"/>
      </bottom>
    </border>
    <border>
      <left>
        <color indexed="63"/>
      </left>
      <right>
        <color indexed="63"/>
      </right>
      <top style="medium"/>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thin"/>
      <right>
        <color indexed="63"/>
      </right>
      <top style="thin"/>
      <bottom>
        <color indexed="63"/>
      </bottom>
    </border>
    <border>
      <left>
        <color indexed="63"/>
      </left>
      <right>
        <color indexed="63"/>
      </right>
      <top>
        <color indexed="63"/>
      </top>
      <bottom style="thin">
        <color indexed="8"/>
      </bottom>
    </border>
    <border>
      <left style="medium"/>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color indexed="63"/>
      </top>
      <bottom style="thin"/>
    </border>
    <border>
      <left style="medium"/>
      <right style="thin"/>
      <top style="medium"/>
      <bottom style="thin"/>
    </border>
    <border>
      <left style="thin"/>
      <right style="medium"/>
      <top style="medium"/>
      <bottom style="thin"/>
    </border>
    <border>
      <left>
        <color indexed="63"/>
      </left>
      <right>
        <color indexed="63"/>
      </right>
      <top style="medium"/>
      <bottom style="medium"/>
    </border>
    <border>
      <left style="thin"/>
      <right>
        <color indexed="63"/>
      </right>
      <top>
        <color indexed="63"/>
      </top>
      <bottom style="thin"/>
    </border>
    <border>
      <left style="thin"/>
      <right>
        <color indexed="63"/>
      </right>
      <top style="medium"/>
      <bottom style="thin"/>
    </border>
    <border>
      <left>
        <color indexed="63"/>
      </left>
      <right style="thin"/>
      <top>
        <color indexed="63"/>
      </top>
      <bottom>
        <color indexed="63"/>
      </bottom>
    </border>
    <border>
      <left style="thin"/>
      <right style="medium"/>
      <top>
        <color indexed="63"/>
      </top>
      <bottom>
        <color indexed="63"/>
      </bottom>
    </border>
    <border>
      <left style="medium"/>
      <right style="medium"/>
      <top style="medium"/>
      <bottom>
        <color indexed="63"/>
      </bottom>
    </border>
    <border>
      <left>
        <color indexed="63"/>
      </left>
      <right style="thin"/>
      <top>
        <color indexed="63"/>
      </top>
      <bottom style="medium"/>
    </border>
    <border>
      <left>
        <color indexed="63"/>
      </left>
      <right style="thin"/>
      <top style="medium"/>
      <bottom style="thin"/>
    </border>
    <border>
      <left>
        <color indexed="63"/>
      </left>
      <right style="thin"/>
      <top style="medium"/>
      <bottom style="medium"/>
    </border>
    <border>
      <left style="medium"/>
      <right>
        <color indexed="63"/>
      </right>
      <top style="medium"/>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177" fontId="4" fillId="0" borderId="0" applyFont="0" applyFill="0" applyBorder="0" applyAlignment="0" applyProtection="0"/>
    <xf numFmtId="175" fontId="4" fillId="0" borderId="0" applyFont="0" applyFill="0" applyBorder="0" applyAlignment="0" applyProtection="0"/>
    <xf numFmtId="176" fontId="4" fillId="0" borderId="0" applyFont="0" applyFill="0" applyBorder="0" applyAlignment="0" applyProtection="0"/>
    <xf numFmtId="9" fontId="4" fillId="0" borderId="0" applyFont="0" applyFill="0" applyBorder="0" applyAlignment="0" applyProtection="0"/>
  </cellStyleXfs>
  <cellXfs count="514">
    <xf numFmtId="0" fontId="0" fillId="0" borderId="0" xfId="0" applyAlignment="1">
      <alignment/>
    </xf>
    <xf numFmtId="178" fontId="4" fillId="0" borderId="0" xfId="0" applyNumberFormat="1" applyFont="1" applyAlignment="1">
      <alignment horizontal="left" vertical="top"/>
    </xf>
    <xf numFmtId="0" fontId="6" fillId="0" borderId="1" xfId="0" applyNumberFormat="1" applyFont="1" applyFill="1" applyBorder="1" applyAlignment="1" applyProtection="1">
      <alignment horizontal="center" vertical="center"/>
      <protection locked="0"/>
    </xf>
    <xf numFmtId="0" fontId="6" fillId="0" borderId="2" xfId="0" applyNumberFormat="1" applyFont="1" applyFill="1" applyBorder="1" applyAlignment="1" applyProtection="1">
      <alignment horizontal="center" vertical="center"/>
      <protection locked="0"/>
    </xf>
    <xf numFmtId="0" fontId="6" fillId="0" borderId="3" xfId="0" applyNumberFormat="1" applyFont="1" applyFill="1" applyBorder="1" applyAlignment="1" applyProtection="1">
      <alignment horizontal="center" vertical="center"/>
      <protection locked="0"/>
    </xf>
    <xf numFmtId="0" fontId="0" fillId="0" borderId="0" xfId="0" applyAlignment="1" applyProtection="1">
      <alignment/>
      <protection/>
    </xf>
    <xf numFmtId="0" fontId="5" fillId="2" borderId="0" xfId="0" applyFont="1" applyFill="1" applyAlignment="1" applyProtection="1">
      <alignment vertical="center"/>
      <protection/>
    </xf>
    <xf numFmtId="0" fontId="5" fillId="2" borderId="0" xfId="0" applyNumberFormat="1" applyFont="1" applyFill="1" applyAlignment="1" applyProtection="1">
      <alignment horizontal="right" vertical="center"/>
      <protection/>
    </xf>
    <xf numFmtId="178" fontId="4" fillId="2" borderId="0" xfId="0" applyNumberFormat="1" applyFont="1" applyFill="1" applyAlignment="1" applyProtection="1">
      <alignment horizontal="center" vertical="center"/>
      <protection/>
    </xf>
    <xf numFmtId="178" fontId="5" fillId="2" borderId="0" xfId="0" applyNumberFormat="1" applyFont="1" applyFill="1" applyAlignment="1" applyProtection="1">
      <alignment horizontal="center" vertical="center"/>
      <protection/>
    </xf>
    <xf numFmtId="0" fontId="6" fillId="2" borderId="0" xfId="0" applyNumberFormat="1" applyFont="1" applyFill="1" applyAlignment="1" applyProtection="1">
      <alignment horizontal="right" vertical="center"/>
      <protection/>
    </xf>
    <xf numFmtId="179" fontId="6" fillId="2" borderId="0" xfId="0" applyNumberFormat="1" applyFont="1" applyFill="1" applyAlignment="1" applyProtection="1">
      <alignment horizontal="right" vertical="center"/>
      <protection/>
    </xf>
    <xf numFmtId="1" fontId="6" fillId="2" borderId="0" xfId="0" applyNumberFormat="1" applyFont="1" applyFill="1" applyAlignment="1" applyProtection="1">
      <alignment horizontal="right" vertical="center"/>
      <protection/>
    </xf>
    <xf numFmtId="178" fontId="5" fillId="2" borderId="0" xfId="0" applyNumberFormat="1" applyFont="1" applyFill="1" applyAlignment="1" applyProtection="1">
      <alignment horizontal="left" vertical="center"/>
      <protection/>
    </xf>
    <xf numFmtId="0" fontId="5" fillId="2" borderId="0" xfId="0" applyFont="1" applyFill="1" applyAlignment="1" applyProtection="1">
      <alignment vertical="center" wrapText="1"/>
      <protection/>
    </xf>
    <xf numFmtId="0" fontId="5" fillId="2" borderId="0" xfId="0" applyNumberFormat="1" applyFont="1" applyFill="1" applyAlignment="1" applyProtection="1">
      <alignment horizontal="left" vertical="center"/>
      <protection/>
    </xf>
    <xf numFmtId="178" fontId="6" fillId="2" borderId="0" xfId="0" applyNumberFormat="1" applyFont="1" applyFill="1" applyAlignment="1" applyProtection="1">
      <alignment horizontal="right" vertical="center"/>
      <protection/>
    </xf>
    <xf numFmtId="0" fontId="4" fillId="2" borderId="0" xfId="0" applyFont="1" applyFill="1" applyAlignment="1" applyProtection="1">
      <alignment vertical="center"/>
      <protection/>
    </xf>
    <xf numFmtId="178" fontId="5" fillId="2" borderId="0" xfId="0" applyNumberFormat="1" applyFont="1" applyFill="1" applyAlignment="1" applyProtection="1">
      <alignment horizontal="right" vertical="center"/>
      <protection/>
    </xf>
    <xf numFmtId="0" fontId="0" fillId="0" borderId="0" xfId="0" applyFill="1" applyAlignment="1" applyProtection="1">
      <alignment/>
      <protection/>
    </xf>
    <xf numFmtId="0" fontId="5" fillId="3" borderId="0" xfId="0" applyFont="1" applyFill="1" applyAlignment="1" applyProtection="1">
      <alignment/>
      <protection/>
    </xf>
    <xf numFmtId="178" fontId="13" fillId="3" borderId="4" xfId="0" applyNumberFormat="1" applyFont="1" applyFill="1" applyBorder="1" applyAlignment="1" applyProtection="1">
      <alignment horizontal="left" vertical="center"/>
      <protection/>
    </xf>
    <xf numFmtId="0" fontId="0" fillId="3" borderId="0" xfId="0" applyFill="1" applyAlignment="1" applyProtection="1">
      <alignment/>
      <protection/>
    </xf>
    <xf numFmtId="178" fontId="13" fillId="3" borderId="0" xfId="0" applyNumberFormat="1" applyFont="1" applyFill="1" applyBorder="1" applyAlignment="1" applyProtection="1">
      <alignment horizontal="left" vertical="center"/>
      <protection/>
    </xf>
    <xf numFmtId="0" fontId="6" fillId="3" borderId="0" xfId="0" applyFont="1" applyFill="1" applyBorder="1" applyAlignment="1" applyProtection="1">
      <alignment horizontal="right" vertical="center"/>
      <protection/>
    </xf>
    <xf numFmtId="0" fontId="7" fillId="3" borderId="0" xfId="0" applyFont="1" applyFill="1" applyAlignment="1" applyProtection="1">
      <alignment/>
      <protection/>
    </xf>
    <xf numFmtId="0" fontId="5" fillId="3" borderId="0" xfId="0" applyFont="1" applyFill="1" applyAlignment="1" applyProtection="1">
      <alignment horizontal="right"/>
      <protection/>
    </xf>
    <xf numFmtId="0" fontId="6" fillId="3" borderId="0" xfId="0" applyFont="1" applyFill="1" applyBorder="1" applyAlignment="1" applyProtection="1">
      <alignment horizontal="left"/>
      <protection/>
    </xf>
    <xf numFmtId="9" fontId="6" fillId="3" borderId="0" xfId="0" applyNumberFormat="1" applyFont="1" applyFill="1" applyBorder="1" applyAlignment="1" applyProtection="1">
      <alignment/>
      <protection/>
    </xf>
    <xf numFmtId="178" fontId="11" fillId="3" borderId="0" xfId="0" applyNumberFormat="1" applyFont="1" applyFill="1" applyBorder="1" applyAlignment="1" applyProtection="1">
      <alignment horizontal="left" vertical="center"/>
      <protection/>
    </xf>
    <xf numFmtId="0" fontId="15" fillId="2" borderId="0" xfId="0" applyFont="1" applyFill="1" applyAlignment="1" applyProtection="1">
      <alignment vertical="center"/>
      <protection/>
    </xf>
    <xf numFmtId="0" fontId="5" fillId="2" borderId="0" xfId="0" applyFont="1" applyFill="1" applyBorder="1" applyAlignment="1" applyProtection="1">
      <alignment vertical="center"/>
      <protection/>
    </xf>
    <xf numFmtId="0" fontId="16" fillId="3" borderId="0" xfId="0" applyFont="1" applyFill="1" applyAlignment="1" applyProtection="1">
      <alignment horizontal="left"/>
      <protection/>
    </xf>
    <xf numFmtId="178" fontId="16" fillId="3" borderId="0" xfId="0" applyFont="1" applyFill="1" applyAlignment="1" applyProtection="1">
      <alignment horizontal="left"/>
      <protection/>
    </xf>
    <xf numFmtId="0" fontId="16" fillId="3" borderId="0" xfId="0" applyFont="1" applyFill="1" applyAlignment="1" applyProtection="1">
      <alignment horizontal="right"/>
      <protection/>
    </xf>
    <xf numFmtId="0" fontId="5" fillId="3" borderId="0" xfId="0" applyFont="1" applyFill="1" applyAlignment="1" applyProtection="1">
      <alignment horizontal="left"/>
      <protection/>
    </xf>
    <xf numFmtId="0" fontId="5" fillId="0" borderId="0" xfId="0" applyFont="1" applyFill="1" applyAlignment="1" applyProtection="1">
      <alignment horizontal="left"/>
      <protection/>
    </xf>
    <xf numFmtId="0" fontId="5" fillId="0" borderId="0" xfId="0" applyFon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horizontal="right"/>
      <protection/>
    </xf>
    <xf numFmtId="186" fontId="5" fillId="0" borderId="0" xfId="0" applyFont="1" applyFill="1" applyAlignment="1" applyProtection="1">
      <alignment horizontal="right"/>
      <protection/>
    </xf>
    <xf numFmtId="0" fontId="5" fillId="0" borderId="0" xfId="0" applyFont="1" applyAlignment="1" applyProtection="1">
      <alignment/>
      <protection/>
    </xf>
    <xf numFmtId="0" fontId="5" fillId="3" borderId="0" xfId="0" applyFont="1" applyFill="1" applyAlignment="1" applyProtection="1">
      <alignment horizontal="center"/>
      <protection/>
    </xf>
    <xf numFmtId="9" fontId="6" fillId="3" borderId="0" xfId="0" applyNumberFormat="1" applyFont="1" applyFill="1" applyBorder="1" applyAlignment="1" applyProtection="1">
      <alignment horizontal="center"/>
      <protection/>
    </xf>
    <xf numFmtId="0" fontId="5" fillId="3" borderId="0" xfId="0" applyFont="1" applyFill="1" applyBorder="1" applyAlignment="1" applyProtection="1">
      <alignment vertical="center"/>
      <protection/>
    </xf>
    <xf numFmtId="0" fontId="5" fillId="3" borderId="0" xfId="0" applyFont="1" applyFill="1" applyAlignment="1" applyProtection="1">
      <alignment vertical="center"/>
      <protection/>
    </xf>
    <xf numFmtId="0" fontId="6" fillId="3" borderId="0" xfId="0" applyFont="1" applyFill="1" applyBorder="1" applyAlignment="1" applyProtection="1">
      <alignment horizontal="left" vertical="center"/>
      <protection/>
    </xf>
    <xf numFmtId="0" fontId="6" fillId="4" borderId="5" xfId="0" applyFont="1" applyFill="1" applyBorder="1" applyAlignment="1" applyProtection="1">
      <alignment vertical="center"/>
      <protection/>
    </xf>
    <xf numFmtId="0" fontId="5" fillId="3" borderId="6" xfId="0" applyFont="1" applyFill="1" applyBorder="1" applyAlignment="1" applyProtection="1">
      <alignment vertical="center"/>
      <protection/>
    </xf>
    <xf numFmtId="0" fontId="7" fillId="4" borderId="7" xfId="0" applyFont="1" applyFill="1" applyBorder="1" applyAlignment="1" applyProtection="1">
      <alignment horizontal="center" vertical="center"/>
      <protection/>
    </xf>
    <xf numFmtId="0" fontId="6" fillId="4" borderId="8" xfId="0" applyFont="1" applyFill="1" applyBorder="1" applyAlignment="1" applyProtection="1">
      <alignment vertical="center"/>
      <protection/>
    </xf>
    <xf numFmtId="0" fontId="7" fillId="3" borderId="0" xfId="0" applyFont="1" applyFill="1" applyBorder="1" applyAlignment="1" applyProtection="1">
      <alignment horizontal="center" vertical="center"/>
      <protection/>
    </xf>
    <xf numFmtId="0" fontId="6" fillId="3" borderId="0" xfId="0" applyNumberFormat="1" applyFont="1" applyFill="1" applyBorder="1" applyAlignment="1" applyProtection="1">
      <alignment horizontal="right" vertical="center"/>
      <protection/>
    </xf>
    <xf numFmtId="179" fontId="6" fillId="3" borderId="0" xfId="0" applyNumberFormat="1" applyFont="1" applyFill="1" applyBorder="1" applyAlignment="1" applyProtection="1">
      <alignment horizontal="right" vertical="center"/>
      <protection/>
    </xf>
    <xf numFmtId="178" fontId="4" fillId="3" borderId="0" xfId="0" applyNumberFormat="1" applyFont="1" applyFill="1" applyBorder="1" applyAlignment="1" applyProtection="1">
      <alignment horizontal="center" vertical="center"/>
      <protection/>
    </xf>
    <xf numFmtId="0" fontId="5" fillId="3" borderId="9" xfId="0" applyFont="1" applyFill="1" applyBorder="1" applyAlignment="1" applyProtection="1">
      <alignment vertical="center"/>
      <protection/>
    </xf>
    <xf numFmtId="178" fontId="9" fillId="3" borderId="0" xfId="0" applyNumberFormat="1" applyFont="1" applyFill="1" applyBorder="1" applyAlignment="1" applyProtection="1">
      <alignment horizontal="left" vertical="center"/>
      <protection/>
    </xf>
    <xf numFmtId="178" fontId="5" fillId="3" borderId="9" xfId="0" applyNumberFormat="1" applyFont="1" applyFill="1" applyBorder="1" applyAlignment="1" applyProtection="1">
      <alignment horizontal="left" vertical="center"/>
      <protection/>
    </xf>
    <xf numFmtId="178" fontId="5" fillId="3" borderId="10" xfId="0" applyNumberFormat="1" applyFont="1" applyFill="1" applyBorder="1" applyAlignment="1" applyProtection="1">
      <alignment horizontal="left" vertical="center"/>
      <protection/>
    </xf>
    <xf numFmtId="0" fontId="5" fillId="3" borderId="11" xfId="0" applyFont="1" applyFill="1" applyBorder="1" applyAlignment="1" applyProtection="1">
      <alignment vertical="center"/>
      <protection/>
    </xf>
    <xf numFmtId="180" fontId="5" fillId="3" borderId="12" xfId="0" applyNumberFormat="1" applyFont="1" applyFill="1" applyBorder="1" applyAlignment="1" applyProtection="1">
      <alignment horizontal="right" vertical="center"/>
      <protection/>
    </xf>
    <xf numFmtId="180" fontId="5" fillId="3" borderId="0" xfId="0" applyNumberFormat="1" applyFont="1" applyFill="1" applyBorder="1" applyAlignment="1" applyProtection="1">
      <alignment horizontal="right" vertical="center"/>
      <protection/>
    </xf>
    <xf numFmtId="178" fontId="5" fillId="3" borderId="0" xfId="0" applyNumberFormat="1" applyFont="1" applyFill="1" applyBorder="1" applyAlignment="1" applyProtection="1">
      <alignment horizontal="left" vertical="center"/>
      <protection/>
    </xf>
    <xf numFmtId="9" fontId="5" fillId="3" borderId="0" xfId="0" applyNumberFormat="1" applyFont="1" applyFill="1" applyBorder="1" applyAlignment="1" applyProtection="1">
      <alignment horizontal="right" vertical="center"/>
      <protection/>
    </xf>
    <xf numFmtId="0" fontId="6" fillId="3" borderId="11" xfId="0" applyFont="1" applyFill="1" applyBorder="1" applyAlignment="1" applyProtection="1">
      <alignment horizontal="left" vertical="center"/>
      <protection/>
    </xf>
    <xf numFmtId="0" fontId="5" fillId="3" borderId="13" xfId="0" applyFont="1" applyFill="1" applyBorder="1" applyAlignment="1" applyProtection="1">
      <alignment vertical="center"/>
      <protection/>
    </xf>
    <xf numFmtId="0" fontId="6" fillId="3" borderId="14" xfId="0" applyFont="1" applyFill="1" applyBorder="1" applyAlignment="1" applyProtection="1">
      <alignment horizontal="left" vertical="center"/>
      <protection/>
    </xf>
    <xf numFmtId="0" fontId="7" fillId="3" borderId="0" xfId="0" applyFont="1" applyFill="1" applyBorder="1" applyAlignment="1" applyProtection="1">
      <alignment vertical="center"/>
      <protection/>
    </xf>
    <xf numFmtId="178" fontId="7" fillId="3" borderId="0" xfId="0" applyNumberFormat="1" applyFont="1" applyFill="1" applyBorder="1" applyAlignment="1" applyProtection="1">
      <alignment horizontal="left" vertical="center"/>
      <protection/>
    </xf>
    <xf numFmtId="178" fontId="5" fillId="3" borderId="0" xfId="0" applyNumberFormat="1" applyFont="1" applyFill="1" applyAlignment="1" applyProtection="1">
      <alignment horizontal="left" vertical="center"/>
      <protection/>
    </xf>
    <xf numFmtId="0" fontId="5" fillId="3" borderId="0" xfId="0" applyFont="1" applyFill="1" applyAlignment="1" applyProtection="1">
      <alignment vertical="center" wrapText="1"/>
      <protection/>
    </xf>
    <xf numFmtId="0" fontId="6" fillId="3" borderId="7" xfId="0" applyFont="1" applyFill="1" applyBorder="1" applyAlignment="1" applyProtection="1">
      <alignment horizontal="left"/>
      <protection/>
    </xf>
    <xf numFmtId="0" fontId="6" fillId="0" borderId="15" xfId="0" applyFont="1" applyFill="1" applyBorder="1" applyAlignment="1" applyProtection="1">
      <alignment horizontal="center"/>
      <protection locked="0"/>
    </xf>
    <xf numFmtId="0" fontId="6" fillId="3" borderId="16" xfId="0" applyFont="1" applyFill="1" applyBorder="1" applyAlignment="1" applyProtection="1">
      <alignment horizontal="left"/>
      <protection/>
    </xf>
    <xf numFmtId="0" fontId="6" fillId="0" borderId="17" xfId="0" applyFont="1" applyFill="1" applyBorder="1" applyAlignment="1" applyProtection="1">
      <alignment horizontal="center"/>
      <protection locked="0"/>
    </xf>
    <xf numFmtId="0" fontId="6" fillId="3" borderId="18" xfId="0" applyFont="1" applyFill="1" applyBorder="1" applyAlignment="1" applyProtection="1">
      <alignment horizontal="left"/>
      <protection/>
    </xf>
    <xf numFmtId="0" fontId="6" fillId="0" borderId="19" xfId="0" applyFont="1" applyFill="1" applyBorder="1" applyAlignment="1" applyProtection="1">
      <alignment horizontal="center"/>
      <protection locked="0"/>
    </xf>
    <xf numFmtId="0" fontId="7" fillId="4" borderId="18" xfId="0" applyFont="1" applyFill="1" applyBorder="1" applyAlignment="1" applyProtection="1">
      <alignment horizontal="center" vertical="center"/>
      <protection/>
    </xf>
    <xf numFmtId="0" fontId="7" fillId="3" borderId="11" xfId="0" applyFont="1" applyFill="1" applyBorder="1" applyAlignment="1" applyProtection="1">
      <alignment horizontal="center"/>
      <protection/>
    </xf>
    <xf numFmtId="0" fontId="7" fillId="4" borderId="11" xfId="0" applyFont="1" applyFill="1" applyBorder="1" applyAlignment="1" applyProtection="1">
      <alignment horizontal="center" vertical="center"/>
      <protection/>
    </xf>
    <xf numFmtId="0" fontId="6" fillId="3" borderId="20" xfId="0" applyFont="1" applyFill="1" applyBorder="1" applyAlignment="1" applyProtection="1">
      <alignment horizontal="center" vertical="center" wrapText="1"/>
      <protection/>
    </xf>
    <xf numFmtId="0" fontId="6" fillId="3" borderId="21" xfId="0" applyFont="1" applyFill="1" applyBorder="1" applyAlignment="1" applyProtection="1">
      <alignment horizontal="center" vertical="center" wrapText="1"/>
      <protection/>
    </xf>
    <xf numFmtId="0" fontId="6" fillId="3" borderId="22" xfId="0" applyFont="1" applyFill="1" applyBorder="1" applyAlignment="1" applyProtection="1">
      <alignment horizontal="center" vertical="center" wrapText="1"/>
      <protection/>
    </xf>
    <xf numFmtId="178" fontId="8" fillId="3" borderId="0" xfId="0" applyNumberFormat="1" applyFont="1" applyFill="1" applyBorder="1" applyAlignment="1" applyProtection="1">
      <alignment horizontal="center" vertical="center"/>
      <protection/>
    </xf>
    <xf numFmtId="0" fontId="6" fillId="3" borderId="23" xfId="0" applyFont="1" applyFill="1" applyBorder="1" applyAlignment="1" applyProtection="1">
      <alignment horizontal="left"/>
      <protection/>
    </xf>
    <xf numFmtId="0" fontId="6" fillId="0" borderId="24" xfId="0" applyFont="1" applyFill="1" applyBorder="1" applyAlignment="1" applyProtection="1">
      <alignment horizontal="center"/>
      <protection locked="0"/>
    </xf>
    <xf numFmtId="189" fontId="5" fillId="3" borderId="25" xfId="0" applyNumberFormat="1" applyFont="1" applyFill="1" applyBorder="1" applyAlignment="1" applyProtection="1">
      <alignment horizontal="center" vertical="center"/>
      <protection/>
    </xf>
    <xf numFmtId="0" fontId="7" fillId="2" borderId="0" xfId="0" applyFont="1" applyFill="1" applyBorder="1" applyAlignment="1" applyProtection="1">
      <alignment vertical="center" wrapText="1"/>
      <protection hidden="1"/>
    </xf>
    <xf numFmtId="0" fontId="4" fillId="2" borderId="0" xfId="0" applyNumberFormat="1" applyFont="1" applyFill="1" applyAlignment="1" applyProtection="1">
      <alignment horizontal="left" vertical="center"/>
      <protection hidden="1"/>
    </xf>
    <xf numFmtId="0" fontId="5" fillId="2" borderId="0" xfId="0" applyFont="1" applyFill="1" applyAlignment="1" applyProtection="1">
      <alignment vertical="center"/>
      <protection hidden="1"/>
    </xf>
    <xf numFmtId="0" fontId="6" fillId="2" borderId="0" xfId="0" applyNumberFormat="1" applyFont="1" applyFill="1" applyAlignment="1" applyProtection="1">
      <alignment horizontal="right" vertical="center"/>
      <protection hidden="1"/>
    </xf>
    <xf numFmtId="178" fontId="6" fillId="2" borderId="10" xfId="0" applyNumberFormat="1" applyFont="1" applyFill="1" applyBorder="1" applyAlignment="1" applyProtection="1">
      <alignment horizontal="left" vertical="center"/>
      <protection hidden="1"/>
    </xf>
    <xf numFmtId="0" fontId="6" fillId="2" borderId="26" xfId="0" applyNumberFormat="1" applyFont="1" applyFill="1" applyBorder="1" applyAlignment="1" applyProtection="1">
      <alignment horizontal="right" vertical="center"/>
      <protection hidden="1"/>
    </xf>
    <xf numFmtId="0" fontId="6" fillId="2" borderId="26" xfId="0" applyFont="1" applyFill="1" applyBorder="1" applyAlignment="1" applyProtection="1">
      <alignment vertical="center"/>
      <protection hidden="1"/>
    </xf>
    <xf numFmtId="0" fontId="6" fillId="2" borderId="11" xfId="0" applyFont="1" applyFill="1" applyBorder="1" applyAlignment="1" applyProtection="1">
      <alignment vertical="center"/>
      <protection hidden="1"/>
    </xf>
    <xf numFmtId="0" fontId="5" fillId="2" borderId="0" xfId="0" applyNumberFormat="1" applyFont="1" applyFill="1" applyAlignment="1" applyProtection="1">
      <alignment horizontal="right" vertical="center"/>
      <protection hidden="1"/>
    </xf>
    <xf numFmtId="178" fontId="6" fillId="2" borderId="27" xfId="0" applyNumberFormat="1" applyFont="1" applyFill="1" applyBorder="1" applyAlignment="1" applyProtection="1">
      <alignment horizontal="right" vertical="center"/>
      <protection hidden="1"/>
    </xf>
    <xf numFmtId="0" fontId="5" fillId="2" borderId="28" xfId="0" applyNumberFormat="1" applyFont="1" applyFill="1" applyBorder="1" applyAlignment="1" applyProtection="1">
      <alignment horizontal="right" vertical="center"/>
      <protection hidden="1"/>
    </xf>
    <xf numFmtId="0" fontId="5" fillId="2" borderId="27" xfId="0" applyNumberFormat="1" applyFont="1" applyFill="1" applyBorder="1" applyAlignment="1" applyProtection="1">
      <alignment horizontal="right" vertical="center"/>
      <protection hidden="1"/>
    </xf>
    <xf numFmtId="0" fontId="5" fillId="2" borderId="0" xfId="0" applyNumberFormat="1" applyFont="1" applyFill="1" applyAlignment="1" applyProtection="1">
      <alignment horizontal="left" vertical="center"/>
      <protection hidden="1"/>
    </xf>
    <xf numFmtId="0" fontId="6" fillId="2" borderId="11" xfId="0" applyNumberFormat="1" applyFont="1" applyFill="1" applyBorder="1" applyAlignment="1" applyProtection="1">
      <alignment horizontal="right" vertical="center"/>
      <protection hidden="1"/>
    </xf>
    <xf numFmtId="178" fontId="6" fillId="2" borderId="9" xfId="0" applyNumberFormat="1" applyFont="1" applyFill="1" applyBorder="1" applyAlignment="1" applyProtection="1">
      <alignment horizontal="right" vertical="center"/>
      <protection hidden="1"/>
    </xf>
    <xf numFmtId="0" fontId="6" fillId="2" borderId="9" xfId="0" applyFont="1" applyFill="1" applyBorder="1" applyAlignment="1" applyProtection="1">
      <alignment vertical="center"/>
      <protection hidden="1"/>
    </xf>
    <xf numFmtId="0" fontId="6" fillId="2" borderId="9" xfId="0" applyNumberFormat="1" applyFont="1" applyFill="1" applyBorder="1" applyAlignment="1" applyProtection="1">
      <alignment horizontal="right" vertical="center"/>
      <protection hidden="1"/>
    </xf>
    <xf numFmtId="0" fontId="5" fillId="2" borderId="28" xfId="0" applyFont="1" applyFill="1" applyBorder="1" applyAlignment="1" applyProtection="1">
      <alignment vertical="center"/>
      <protection hidden="1"/>
    </xf>
    <xf numFmtId="0" fontId="6" fillId="2" borderId="0" xfId="0" applyNumberFormat="1" applyFont="1" applyFill="1" applyAlignment="1" applyProtection="1">
      <alignment horizontal="center" vertical="center"/>
      <protection hidden="1"/>
    </xf>
    <xf numFmtId="0" fontId="6" fillId="2" borderId="28" xfId="0" applyNumberFormat="1" applyFont="1" applyFill="1" applyBorder="1" applyAlignment="1" applyProtection="1">
      <alignment horizontal="center" vertical="center"/>
      <protection hidden="1"/>
    </xf>
    <xf numFmtId="178" fontId="6" fillId="2" borderId="0" xfId="0" applyNumberFormat="1" applyFont="1" applyFill="1" applyAlignment="1" applyProtection="1">
      <alignment horizontal="right" vertical="center"/>
      <protection hidden="1"/>
    </xf>
    <xf numFmtId="1" fontId="5" fillId="2" borderId="0" xfId="0" applyNumberFormat="1" applyFont="1" applyFill="1" applyAlignment="1" applyProtection="1">
      <alignment horizontal="right" vertical="center"/>
      <protection hidden="1"/>
    </xf>
    <xf numFmtId="180" fontId="6" fillId="2" borderId="28" xfId="0" applyNumberFormat="1" applyFont="1" applyFill="1" applyBorder="1" applyAlignment="1" applyProtection="1">
      <alignment horizontal="right" vertical="center"/>
      <protection hidden="1"/>
    </xf>
    <xf numFmtId="2" fontId="4" fillId="2" borderId="28" xfId="0" applyNumberFormat="1" applyFont="1" applyFill="1" applyBorder="1" applyAlignment="1" applyProtection="1">
      <alignment horizontal="right" vertical="center"/>
      <protection hidden="1"/>
    </xf>
    <xf numFmtId="0" fontId="5" fillId="2" borderId="27" xfId="0" applyFont="1" applyFill="1" applyBorder="1" applyAlignment="1" applyProtection="1">
      <alignment vertical="center"/>
      <protection hidden="1"/>
    </xf>
    <xf numFmtId="1" fontId="6" fillId="2" borderId="27" xfId="0" applyNumberFormat="1" applyFont="1" applyFill="1" applyBorder="1" applyAlignment="1" applyProtection="1">
      <alignment horizontal="right" vertical="center"/>
      <protection hidden="1"/>
    </xf>
    <xf numFmtId="0" fontId="7" fillId="2" borderId="0" xfId="0" applyFont="1" applyFill="1" applyAlignment="1" applyProtection="1">
      <alignment vertical="center"/>
      <protection/>
    </xf>
    <xf numFmtId="0" fontId="7" fillId="2" borderId="0" xfId="0" applyFont="1" applyFill="1" applyAlignment="1" applyProtection="1">
      <alignment horizontal="left" vertical="center"/>
      <protection/>
    </xf>
    <xf numFmtId="0" fontId="7" fillId="2" borderId="0" xfId="0" applyNumberFormat="1" applyFont="1" applyFill="1" applyAlignment="1" applyProtection="1">
      <alignment horizontal="right" vertical="center"/>
      <protection/>
    </xf>
    <xf numFmtId="0" fontId="7" fillId="2" borderId="0" xfId="0" applyNumberFormat="1" applyFont="1" applyFill="1" applyAlignment="1" applyProtection="1">
      <alignment horizontal="left" vertical="center"/>
      <protection/>
    </xf>
    <xf numFmtId="178" fontId="7" fillId="2" borderId="0" xfId="0" applyNumberFormat="1" applyFont="1" applyFill="1" applyAlignment="1" applyProtection="1">
      <alignment horizontal="right" vertical="center"/>
      <protection/>
    </xf>
    <xf numFmtId="178" fontId="7" fillId="2" borderId="0" xfId="0" applyNumberFormat="1" applyFont="1" applyFill="1" applyAlignment="1" applyProtection="1">
      <alignment horizontal="left" vertical="center"/>
      <protection/>
    </xf>
    <xf numFmtId="0" fontId="5" fillId="3" borderId="0" xfId="0" applyFont="1" applyFill="1" applyBorder="1" applyAlignment="1" applyProtection="1">
      <alignment/>
      <protection/>
    </xf>
    <xf numFmtId="0" fontId="13" fillId="3" borderId="0" xfId="0" applyFont="1" applyFill="1" applyBorder="1" applyAlignment="1" applyProtection="1">
      <alignment vertical="center" wrapText="1"/>
      <protection/>
    </xf>
    <xf numFmtId="0" fontId="13" fillId="3" borderId="0" xfId="0" applyFont="1" applyFill="1" applyBorder="1" applyAlignment="1" applyProtection="1">
      <alignment vertical="center"/>
      <protection/>
    </xf>
    <xf numFmtId="0" fontId="13" fillId="3" borderId="0" xfId="0" applyFont="1" applyFill="1" applyBorder="1" applyAlignment="1" applyProtection="1">
      <alignment horizontal="right" vertical="center"/>
      <protection/>
    </xf>
    <xf numFmtId="178" fontId="6" fillId="3" borderId="0" xfId="0" applyNumberFormat="1" applyFont="1" applyFill="1" applyBorder="1" applyAlignment="1" applyProtection="1">
      <alignment vertical="center"/>
      <protection/>
    </xf>
    <xf numFmtId="0" fontId="6" fillId="3" borderId="0" xfId="0" applyFont="1" applyFill="1" applyBorder="1" applyAlignment="1" applyProtection="1">
      <alignment horizontal="center" vertical="center"/>
      <protection/>
    </xf>
    <xf numFmtId="0" fontId="5" fillId="3" borderId="29" xfId="0" applyFont="1" applyFill="1" applyBorder="1" applyAlignment="1" applyProtection="1">
      <alignment horizontal="center" vertical="center"/>
      <protection/>
    </xf>
    <xf numFmtId="0" fontId="5" fillId="3" borderId="30" xfId="0" applyFont="1" applyFill="1" applyBorder="1" applyAlignment="1" applyProtection="1">
      <alignment horizontal="center" vertical="center"/>
      <protection/>
    </xf>
    <xf numFmtId="0" fontId="14" fillId="3" borderId="0" xfId="0" applyFont="1" applyFill="1" applyAlignment="1" applyProtection="1">
      <alignment horizontal="left"/>
      <protection/>
    </xf>
    <xf numFmtId="0" fontId="7" fillId="3" borderId="0" xfId="0" applyFont="1" applyFill="1" applyAlignment="1" applyProtection="1">
      <alignment horizontal="right"/>
      <protection/>
    </xf>
    <xf numFmtId="0" fontId="11" fillId="3" borderId="0" xfId="0" applyFont="1" applyFill="1" applyAlignment="1" applyProtection="1">
      <alignment horizontal="left"/>
      <protection/>
    </xf>
    <xf numFmtId="0" fontId="5" fillId="3" borderId="0" xfId="0" applyFont="1" applyFill="1" applyAlignment="1" applyProtection="1">
      <alignment horizontal="left" vertical="center"/>
      <protection/>
    </xf>
    <xf numFmtId="0" fontId="5" fillId="3" borderId="29" xfId="0" applyFont="1" applyFill="1" applyBorder="1" applyAlignment="1" applyProtection="1">
      <alignment/>
      <protection/>
    </xf>
    <xf numFmtId="0" fontId="13" fillId="3" borderId="0" xfId="0" applyFont="1" applyFill="1" applyAlignment="1" applyProtection="1">
      <alignment horizontal="right"/>
      <protection/>
    </xf>
    <xf numFmtId="0" fontId="13" fillId="3" borderId="0" xfId="0" applyFont="1" applyFill="1" applyAlignment="1" applyProtection="1">
      <alignment/>
      <protection/>
    </xf>
    <xf numFmtId="0" fontId="7" fillId="3" borderId="6" xfId="0" applyFont="1" applyFill="1" applyBorder="1" applyAlignment="1" applyProtection="1">
      <alignment horizontal="right" vertical="center"/>
      <protection/>
    </xf>
    <xf numFmtId="0" fontId="7" fillId="3" borderId="31" xfId="0" applyFont="1" applyFill="1" applyBorder="1" applyAlignment="1" applyProtection="1">
      <alignment horizontal="right" vertical="center"/>
      <protection/>
    </xf>
    <xf numFmtId="0" fontId="5" fillId="0" borderId="0" xfId="0" applyFont="1" applyAlignment="1">
      <alignment/>
    </xf>
    <xf numFmtId="9" fontId="6" fillId="0" borderId="32" xfId="0" applyNumberFormat="1" applyFont="1" applyFill="1" applyBorder="1" applyAlignment="1" applyProtection="1">
      <alignment horizontal="center" vertical="justify"/>
      <protection/>
    </xf>
    <xf numFmtId="0" fontId="20" fillId="3" borderId="0" xfId="0" applyFont="1" applyFill="1" applyAlignment="1" applyProtection="1">
      <alignment horizontal="left"/>
      <protection/>
    </xf>
    <xf numFmtId="0" fontId="13" fillId="0" borderId="0" xfId="0" applyFont="1" applyAlignment="1">
      <alignment/>
    </xf>
    <xf numFmtId="0" fontId="5" fillId="0" borderId="29" xfId="0" applyFont="1" applyBorder="1" applyAlignment="1">
      <alignment/>
    </xf>
    <xf numFmtId="0" fontId="21" fillId="3" borderId="0" xfId="0" applyFont="1" applyFill="1" applyBorder="1" applyAlignment="1">
      <alignment/>
    </xf>
    <xf numFmtId="0" fontId="22" fillId="3" borderId="0" xfId="0" applyFont="1" applyFill="1" applyBorder="1" applyAlignment="1">
      <alignment/>
    </xf>
    <xf numFmtId="0" fontId="23" fillId="3" borderId="0" xfId="0" applyFont="1" applyFill="1" applyBorder="1" applyAlignment="1">
      <alignment/>
    </xf>
    <xf numFmtId="0" fontId="0" fillId="3" borderId="0" xfId="0" applyFill="1" applyBorder="1" applyAlignment="1">
      <alignment/>
    </xf>
    <xf numFmtId="0" fontId="0" fillId="3" borderId="0" xfId="0" applyFill="1" applyAlignment="1">
      <alignment/>
    </xf>
    <xf numFmtId="0" fontId="24" fillId="3" borderId="0" xfId="0" applyFont="1" applyFill="1" applyBorder="1" applyAlignment="1">
      <alignment/>
    </xf>
    <xf numFmtId="0" fontId="21" fillId="3" borderId="29" xfId="0" applyFont="1" applyFill="1" applyBorder="1" applyAlignment="1">
      <alignment/>
    </xf>
    <xf numFmtId="0" fontId="25" fillId="5" borderId="26" xfId="0" applyFont="1" applyFill="1" applyBorder="1" applyAlignment="1">
      <alignment/>
    </xf>
    <xf numFmtId="0" fontId="21" fillId="5" borderId="26" xfId="0" applyFont="1" applyFill="1" applyBorder="1" applyAlignment="1">
      <alignment/>
    </xf>
    <xf numFmtId="0" fontId="21" fillId="3" borderId="9" xfId="0" applyFont="1" applyFill="1" applyBorder="1" applyAlignment="1">
      <alignment/>
    </xf>
    <xf numFmtId="0" fontId="21" fillId="3" borderId="26" xfId="0" applyFont="1" applyFill="1" applyBorder="1" applyAlignment="1">
      <alignment/>
    </xf>
    <xf numFmtId="0" fontId="21" fillId="3" borderId="33" xfId="0" applyFont="1" applyFill="1" applyBorder="1" applyAlignment="1">
      <alignment horizontal="center"/>
    </xf>
    <xf numFmtId="182" fontId="6" fillId="2" borderId="9" xfId="0" applyNumberFormat="1" applyFont="1" applyFill="1" applyBorder="1" applyAlignment="1" applyProtection="1">
      <alignment horizontal="center"/>
      <protection/>
    </xf>
    <xf numFmtId="10" fontId="24" fillId="3" borderId="0" xfId="0" applyNumberFormat="1" applyFont="1" applyFill="1" applyBorder="1" applyAlignment="1">
      <alignment/>
    </xf>
    <xf numFmtId="0" fontId="5" fillId="3" borderId="0" xfId="0" applyFont="1" applyFill="1" applyBorder="1" applyAlignment="1">
      <alignment/>
    </xf>
    <xf numFmtId="0" fontId="6" fillId="3" borderId="0" xfId="0" applyFont="1" applyFill="1" applyBorder="1" applyAlignment="1">
      <alignment/>
    </xf>
    <xf numFmtId="0" fontId="26" fillId="3" borderId="0" xfId="15" applyFont="1" applyFill="1" applyBorder="1" applyAlignment="1">
      <alignment/>
    </xf>
    <xf numFmtId="0" fontId="27" fillId="3" borderId="13" xfId="0" applyFont="1" applyFill="1" applyBorder="1" applyAlignment="1">
      <alignment/>
    </xf>
    <xf numFmtId="0" fontId="5" fillId="3" borderId="0" xfId="0" applyFont="1" applyFill="1" applyAlignment="1">
      <alignment/>
    </xf>
    <xf numFmtId="0" fontId="23" fillId="3" borderId="0" xfId="0" applyFont="1" applyFill="1" applyBorder="1" applyAlignment="1" applyProtection="1">
      <alignment vertical="center"/>
      <protection/>
    </xf>
    <xf numFmtId="0" fontId="28" fillId="3" borderId="0" xfId="15" applyFont="1" applyFill="1" applyBorder="1" applyAlignment="1">
      <alignment/>
    </xf>
    <xf numFmtId="9" fontId="29" fillId="6" borderId="9" xfId="0" applyNumberFormat="1" applyFont="1" applyFill="1" applyBorder="1" applyAlignment="1">
      <alignment horizontal="center" vertical="center"/>
    </xf>
    <xf numFmtId="9" fontId="29" fillId="6" borderId="15" xfId="0" applyNumberFormat="1" applyFont="1" applyFill="1" applyBorder="1" applyAlignment="1">
      <alignment horizontal="center" vertical="center"/>
    </xf>
    <xf numFmtId="9" fontId="29" fillId="6" borderId="11" xfId="0" applyNumberFormat="1" applyFont="1" applyFill="1" applyBorder="1" applyAlignment="1">
      <alignment horizontal="center" vertical="center"/>
    </xf>
    <xf numFmtId="0" fontId="6" fillId="0" borderId="0" xfId="0" applyFont="1" applyAlignment="1">
      <alignment horizontal="left"/>
    </xf>
    <xf numFmtId="0" fontId="0" fillId="7" borderId="34" xfId="0" applyFill="1" applyBorder="1" applyAlignment="1">
      <alignment/>
    </xf>
    <xf numFmtId="0" fontId="6" fillId="8" borderId="9" xfId="0" applyFont="1" applyFill="1" applyBorder="1" applyAlignment="1">
      <alignment horizontal="left"/>
    </xf>
    <xf numFmtId="0" fontId="6" fillId="9" borderId="35" xfId="0" applyFont="1" applyFill="1" applyBorder="1" applyAlignment="1" quotePrefix="1">
      <alignment horizontal="center"/>
    </xf>
    <xf numFmtId="0" fontId="0" fillId="2" borderId="0" xfId="0" applyFill="1" applyAlignment="1">
      <alignment/>
    </xf>
    <xf numFmtId="0" fontId="6" fillId="2" borderId="7" xfId="0" applyFont="1" applyFill="1" applyBorder="1" applyAlignment="1">
      <alignment vertical="center"/>
    </xf>
    <xf numFmtId="9" fontId="29" fillId="2" borderId="15" xfId="0" applyNumberFormat="1" applyFont="1" applyFill="1" applyBorder="1" applyAlignment="1">
      <alignment horizontal="center" vertical="center"/>
    </xf>
    <xf numFmtId="9" fontId="29" fillId="2" borderId="17" xfId="0" applyNumberFormat="1" applyFont="1" applyFill="1" applyBorder="1" applyAlignment="1">
      <alignment horizontal="center" vertical="center"/>
    </xf>
    <xf numFmtId="0" fontId="5" fillId="2" borderId="0" xfId="0" applyFont="1" applyFill="1" applyAlignment="1">
      <alignment/>
    </xf>
    <xf numFmtId="0" fontId="5" fillId="2" borderId="0" xfId="0" applyFont="1" applyFill="1" applyAlignment="1">
      <alignment horizontal="left"/>
    </xf>
    <xf numFmtId="0" fontId="6" fillId="2" borderId="0" xfId="0" applyFont="1" applyFill="1" applyBorder="1" applyAlignment="1">
      <alignment horizontal="left"/>
    </xf>
    <xf numFmtId="0" fontId="6" fillId="2" borderId="28" xfId="0" applyFont="1" applyFill="1" applyBorder="1" applyAlignment="1" quotePrefix="1">
      <alignment horizontal="left"/>
    </xf>
    <xf numFmtId="0" fontId="5" fillId="2" borderId="0" xfId="0" applyFont="1" applyFill="1" applyBorder="1" applyAlignment="1">
      <alignment/>
    </xf>
    <xf numFmtId="0" fontId="6" fillId="2" borderId="36" xfId="0" applyFont="1" applyFill="1" applyBorder="1" applyAlignment="1">
      <alignment horizontal="right"/>
    </xf>
    <xf numFmtId="16" fontId="6" fillId="2" borderId="35" xfId="0" applyNumberFormat="1" applyFont="1" applyFill="1" applyBorder="1" applyAlignment="1" quotePrefix="1">
      <alignment horizontal="center"/>
    </xf>
    <xf numFmtId="0" fontId="6" fillId="2" borderId="35" xfId="0" applyFont="1" applyFill="1" applyBorder="1" applyAlignment="1" quotePrefix="1">
      <alignment horizontal="center"/>
    </xf>
    <xf numFmtId="0" fontId="6" fillId="2" borderId="17" xfId="0" applyFont="1" applyFill="1" applyBorder="1" applyAlignment="1">
      <alignment horizontal="center"/>
    </xf>
    <xf numFmtId="0" fontId="6" fillId="2" borderId="23" xfId="0" applyFont="1" applyFill="1" applyBorder="1" applyAlignment="1">
      <alignment horizontal="right"/>
    </xf>
    <xf numFmtId="0" fontId="6" fillId="2" borderId="37" xfId="0" applyFont="1" applyFill="1" applyBorder="1" applyAlignment="1" quotePrefix="1">
      <alignment horizontal="center"/>
    </xf>
    <xf numFmtId="9" fontId="6" fillId="2" borderId="37" xfId="0" applyNumberFormat="1" applyFont="1" applyFill="1" applyBorder="1" applyAlignment="1">
      <alignment horizontal="center"/>
    </xf>
    <xf numFmtId="182" fontId="6" fillId="2" borderId="37" xfId="0" applyNumberFormat="1" applyFont="1" applyFill="1" applyBorder="1" applyAlignment="1">
      <alignment horizontal="center"/>
    </xf>
    <xf numFmtId="0" fontId="6" fillId="2" borderId="38" xfId="0" applyFont="1" applyFill="1" applyBorder="1" applyAlignment="1">
      <alignment horizontal="center"/>
    </xf>
    <xf numFmtId="0" fontId="5" fillId="2" borderId="27" xfId="0" applyFont="1" applyFill="1" applyBorder="1" applyAlignment="1" quotePrefix="1">
      <alignment horizontal="left"/>
    </xf>
    <xf numFmtId="0" fontId="6" fillId="2" borderId="0" xfId="0" applyFont="1" applyFill="1" applyBorder="1" applyAlignment="1">
      <alignment horizontal="center"/>
    </xf>
    <xf numFmtId="9" fontId="6" fillId="2" borderId="35" xfId="0" applyNumberFormat="1" applyFont="1" applyFill="1" applyBorder="1" applyAlignment="1" quotePrefix="1">
      <alignment horizontal="center"/>
    </xf>
    <xf numFmtId="9" fontId="6" fillId="2" borderId="37" xfId="0" applyNumberFormat="1" applyFont="1" applyFill="1" applyBorder="1" applyAlignment="1" quotePrefix="1">
      <alignment horizontal="center"/>
    </xf>
    <xf numFmtId="0" fontId="6" fillId="8" borderId="39" xfId="0" applyFont="1" applyFill="1" applyBorder="1" applyAlignment="1">
      <alignment horizontal="center"/>
    </xf>
    <xf numFmtId="0" fontId="6" fillId="8" borderId="40" xfId="0" applyFont="1" applyFill="1" applyBorder="1" applyAlignment="1">
      <alignment horizontal="left"/>
    </xf>
    <xf numFmtId="0" fontId="6" fillId="8" borderId="41" xfId="0" applyFont="1" applyFill="1" applyBorder="1" applyAlignment="1">
      <alignment horizontal="center"/>
    </xf>
    <xf numFmtId="9" fontId="6" fillId="9" borderId="17" xfId="0" applyNumberFormat="1" applyFont="1" applyFill="1" applyBorder="1" applyAlignment="1" quotePrefix="1">
      <alignment horizontal="center"/>
    </xf>
    <xf numFmtId="182" fontId="6" fillId="2" borderId="38" xfId="0" applyNumberFormat="1" applyFont="1" applyFill="1" applyBorder="1" applyAlignment="1">
      <alignment horizontal="center"/>
    </xf>
    <xf numFmtId="0" fontId="6" fillId="6" borderId="7" xfId="0" applyFont="1" applyFill="1" applyBorder="1" applyAlignment="1">
      <alignment vertical="center"/>
    </xf>
    <xf numFmtId="0" fontId="6" fillId="2" borderId="16" xfId="0" applyFont="1" applyFill="1" applyBorder="1" applyAlignment="1">
      <alignment vertical="center"/>
    </xf>
    <xf numFmtId="0" fontId="5" fillId="2" borderId="15" xfId="0" applyFont="1" applyFill="1" applyBorder="1" applyAlignment="1">
      <alignment vertical="center" wrapText="1"/>
    </xf>
    <xf numFmtId="0" fontId="6" fillId="2" borderId="15" xfId="0" applyFont="1" applyFill="1" applyBorder="1" applyAlignment="1">
      <alignment vertical="center" wrapText="1"/>
    </xf>
    <xf numFmtId="0" fontId="6" fillId="2" borderId="17" xfId="0" applyFont="1" applyFill="1" applyBorder="1" applyAlignment="1">
      <alignment vertical="center" wrapText="1"/>
    </xf>
    <xf numFmtId="0" fontId="5" fillId="2" borderId="24" xfId="0" applyFont="1" applyFill="1" applyBorder="1" applyAlignment="1">
      <alignment vertical="center" wrapText="1"/>
    </xf>
    <xf numFmtId="0" fontId="6" fillId="7" borderId="16" xfId="0" applyFont="1" applyFill="1" applyBorder="1" applyAlignment="1">
      <alignment vertical="center"/>
    </xf>
    <xf numFmtId="0" fontId="6" fillId="7" borderId="17" xfId="0" applyFont="1" applyFill="1" applyBorder="1" applyAlignment="1">
      <alignment vertical="center"/>
    </xf>
    <xf numFmtId="0" fontId="6" fillId="7" borderId="42"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6" fillId="7" borderId="17" xfId="0" applyFont="1" applyFill="1" applyBorder="1" applyAlignment="1">
      <alignment horizontal="center" vertical="center" wrapText="1"/>
    </xf>
    <xf numFmtId="0" fontId="6" fillId="7" borderId="43" xfId="0" applyFont="1" applyFill="1" applyBorder="1" applyAlignment="1">
      <alignment/>
    </xf>
    <xf numFmtId="0" fontId="5" fillId="2" borderId="0" xfId="0" applyFont="1" applyFill="1" applyBorder="1" applyAlignment="1">
      <alignment horizontal="left"/>
    </xf>
    <xf numFmtId="180" fontId="6" fillId="7" borderId="17" xfId="0" applyNumberFormat="1" applyFont="1" applyFill="1" applyBorder="1" applyAlignment="1">
      <alignment horizontal="center"/>
    </xf>
    <xf numFmtId="0" fontId="5" fillId="0" borderId="0" xfId="0" applyNumberFormat="1" applyFont="1" applyAlignment="1">
      <alignment/>
    </xf>
    <xf numFmtId="0" fontId="5" fillId="0" borderId="0" xfId="0" applyFont="1" applyAlignment="1">
      <alignment horizontal="right"/>
    </xf>
    <xf numFmtId="0" fontId="5" fillId="0" borderId="0" xfId="0" applyFont="1" applyAlignment="1" quotePrefix="1">
      <alignment/>
    </xf>
    <xf numFmtId="0" fontId="7" fillId="0" borderId="0" xfId="0" applyNumberFormat="1" applyFont="1" applyAlignment="1">
      <alignment/>
    </xf>
    <xf numFmtId="0" fontId="7" fillId="0" borderId="0" xfId="0" applyFont="1" applyAlignment="1">
      <alignment/>
    </xf>
    <xf numFmtId="0" fontId="6" fillId="3" borderId="0" xfId="0" applyFont="1" applyFill="1" applyAlignment="1">
      <alignment/>
    </xf>
    <xf numFmtId="0" fontId="5" fillId="3" borderId="0" xfId="0" applyNumberFormat="1" applyFont="1" applyFill="1" applyAlignment="1">
      <alignment/>
    </xf>
    <xf numFmtId="0" fontId="5" fillId="3" borderId="0" xfId="0" applyFont="1" applyFill="1" applyAlignment="1">
      <alignment horizontal="right"/>
    </xf>
    <xf numFmtId="0" fontId="6" fillId="3" borderId="44" xfId="0" applyFont="1" applyFill="1" applyBorder="1" applyAlignment="1">
      <alignment wrapText="1"/>
    </xf>
    <xf numFmtId="0" fontId="6" fillId="3" borderId="45" xfId="0" applyFont="1" applyFill="1" applyBorder="1" applyAlignment="1">
      <alignment wrapText="1"/>
    </xf>
    <xf numFmtId="0" fontId="6" fillId="3" borderId="45" xfId="0" applyFont="1" applyFill="1" applyBorder="1" applyAlignment="1">
      <alignment/>
    </xf>
    <xf numFmtId="0" fontId="6" fillId="3" borderId="46" xfId="0" applyFont="1" applyFill="1" applyBorder="1" applyAlignment="1">
      <alignment wrapText="1"/>
    </xf>
    <xf numFmtId="0" fontId="7" fillId="3" borderId="9" xfId="0" applyFont="1" applyFill="1" applyBorder="1" applyAlignment="1">
      <alignment wrapText="1"/>
    </xf>
    <xf numFmtId="0" fontId="33" fillId="3" borderId="0" xfId="0" applyFont="1" applyFill="1" applyBorder="1" applyAlignment="1">
      <alignment/>
    </xf>
    <xf numFmtId="0" fontId="6" fillId="6" borderId="10" xfId="0" applyFont="1" applyFill="1" applyBorder="1" applyAlignment="1">
      <alignment wrapText="1"/>
    </xf>
    <xf numFmtId="0" fontId="6" fillId="3" borderId="0" xfId="0" applyFont="1" applyFill="1" applyBorder="1" applyAlignment="1">
      <alignment wrapText="1"/>
    </xf>
    <xf numFmtId="0" fontId="7" fillId="3" borderId="0" xfId="0" applyFont="1" applyFill="1" applyBorder="1" applyAlignment="1">
      <alignment wrapText="1"/>
    </xf>
    <xf numFmtId="0" fontId="6" fillId="0" borderId="9" xfId="0" applyFont="1" applyBorder="1" applyAlignment="1" applyProtection="1">
      <alignment/>
      <protection locked="0"/>
    </xf>
    <xf numFmtId="0" fontId="7" fillId="3" borderId="0" xfId="0" applyFont="1" applyFill="1" applyAlignment="1">
      <alignment/>
    </xf>
    <xf numFmtId="0" fontId="34" fillId="5" borderId="0" xfId="0" applyFont="1" applyFill="1" applyAlignment="1">
      <alignment/>
    </xf>
    <xf numFmtId="0" fontId="5" fillId="5" borderId="0" xfId="0" applyFont="1" applyFill="1" applyAlignment="1">
      <alignment/>
    </xf>
    <xf numFmtId="0" fontId="7" fillId="0" borderId="0" xfId="0" applyFont="1" applyFill="1" applyAlignment="1">
      <alignment/>
    </xf>
    <xf numFmtId="0" fontId="6" fillId="3" borderId="0" xfId="0" applyFont="1" applyFill="1" applyBorder="1" applyAlignment="1" applyProtection="1">
      <alignment/>
      <protection locked="0"/>
    </xf>
    <xf numFmtId="0" fontId="34" fillId="3" borderId="0" xfId="0" applyFont="1" applyFill="1" applyBorder="1" applyAlignment="1">
      <alignment wrapText="1"/>
    </xf>
    <xf numFmtId="182" fontId="6" fillId="3" borderId="0" xfId="0" applyNumberFormat="1" applyFont="1" applyFill="1" applyBorder="1" applyAlignment="1" applyProtection="1">
      <alignment horizontal="right" vertical="top"/>
      <protection locked="0"/>
    </xf>
    <xf numFmtId="0" fontId="6" fillId="0" borderId="10" xfId="0" applyFont="1" applyBorder="1" applyAlignment="1" applyProtection="1">
      <alignment/>
      <protection locked="0"/>
    </xf>
    <xf numFmtId="0" fontId="6" fillId="5" borderId="10" xfId="0" applyFont="1" applyFill="1" applyBorder="1" applyAlignment="1">
      <alignment/>
    </xf>
    <xf numFmtId="182" fontId="6" fillId="0" borderId="10" xfId="0" applyNumberFormat="1" applyFont="1" applyFill="1" applyBorder="1" applyAlignment="1" applyProtection="1">
      <alignment horizontal="right" vertical="top"/>
      <protection locked="0"/>
    </xf>
    <xf numFmtId="0" fontId="6" fillId="0" borderId="0" xfId="0" applyFont="1" applyBorder="1" applyAlignment="1">
      <alignment horizontal="right"/>
    </xf>
    <xf numFmtId="0" fontId="5" fillId="0" borderId="0" xfId="0" applyFont="1" applyBorder="1" applyAlignment="1">
      <alignment/>
    </xf>
    <xf numFmtId="0" fontId="6" fillId="3" borderId="9" xfId="0" applyFont="1" applyFill="1" applyBorder="1" applyAlignment="1">
      <alignment/>
    </xf>
    <xf numFmtId="0" fontId="5" fillId="0" borderId="47" xfId="0" applyFont="1" applyBorder="1" applyAlignment="1">
      <alignment/>
    </xf>
    <xf numFmtId="0" fontId="5" fillId="0" borderId="25" xfId="0" applyFont="1" applyBorder="1" applyAlignment="1">
      <alignment horizontal="right"/>
    </xf>
    <xf numFmtId="0" fontId="5" fillId="0" borderId="48" xfId="0" applyNumberFormat="1" applyFont="1" applyBorder="1" applyAlignment="1">
      <alignment/>
    </xf>
    <xf numFmtId="0" fontId="5" fillId="0" borderId="48" xfId="0" applyFont="1" applyBorder="1" applyAlignment="1">
      <alignment/>
    </xf>
    <xf numFmtId="0" fontId="5" fillId="0" borderId="49" xfId="0" applyFont="1" applyBorder="1" applyAlignment="1">
      <alignment horizontal="right"/>
    </xf>
    <xf numFmtId="0" fontId="5" fillId="0" borderId="30" xfId="0" applyFont="1" applyBorder="1" applyAlignment="1">
      <alignment/>
    </xf>
    <xf numFmtId="0" fontId="5" fillId="0" borderId="50" xfId="0" applyFont="1" applyBorder="1" applyAlignment="1">
      <alignment/>
    </xf>
    <xf numFmtId="0" fontId="5" fillId="3" borderId="29" xfId="0" applyFont="1" applyFill="1" applyBorder="1" applyAlignment="1">
      <alignment/>
    </xf>
    <xf numFmtId="0" fontId="7" fillId="3" borderId="0" xfId="0" applyNumberFormat="1" applyFont="1" applyFill="1" applyAlignment="1">
      <alignment/>
    </xf>
    <xf numFmtId="0" fontId="6" fillId="0" borderId="51" xfId="0" applyFont="1" applyBorder="1" applyAlignment="1">
      <alignment horizontal="right"/>
    </xf>
    <xf numFmtId="0" fontId="20" fillId="3" borderId="0" xfId="0" applyFont="1" applyFill="1" applyBorder="1" applyAlignment="1">
      <alignment wrapText="1"/>
    </xf>
    <xf numFmtId="0" fontId="36" fillId="3" borderId="0" xfId="0" applyFont="1" applyFill="1" applyAlignment="1">
      <alignment vertical="top" wrapText="1"/>
    </xf>
    <xf numFmtId="0" fontId="20" fillId="3" borderId="0" xfId="0" applyFont="1" applyFill="1" applyAlignment="1">
      <alignment vertical="top" wrapText="1"/>
    </xf>
    <xf numFmtId="0" fontId="7" fillId="0" borderId="0" xfId="0" applyFont="1" applyAlignment="1" quotePrefix="1">
      <alignment/>
    </xf>
    <xf numFmtId="0" fontId="7" fillId="3" borderId="52" xfId="0" applyFont="1" applyFill="1" applyBorder="1" applyAlignment="1">
      <alignment wrapText="1"/>
    </xf>
    <xf numFmtId="0" fontId="7" fillId="3" borderId="13" xfId="0" applyFont="1" applyFill="1" applyBorder="1" applyAlignment="1">
      <alignment wrapText="1"/>
    </xf>
    <xf numFmtId="182" fontId="6" fillId="0" borderId="9" xfId="0" applyNumberFormat="1" applyFont="1" applyFill="1" applyBorder="1" applyAlignment="1" applyProtection="1">
      <alignment horizontal="right" vertical="top"/>
      <protection/>
    </xf>
    <xf numFmtId="0" fontId="14" fillId="3" borderId="0" xfId="0" applyFont="1" applyFill="1" applyAlignment="1">
      <alignment/>
    </xf>
    <xf numFmtId="0" fontId="37" fillId="3" borderId="0" xfId="0" applyFont="1" applyFill="1" applyBorder="1" applyAlignment="1">
      <alignment/>
    </xf>
    <xf numFmtId="0" fontId="0" fillId="3" borderId="0" xfId="0" applyFill="1" applyBorder="1" applyAlignment="1" applyProtection="1">
      <alignment/>
      <protection/>
    </xf>
    <xf numFmtId="0" fontId="0" fillId="3" borderId="29" xfId="0" applyFill="1" applyBorder="1" applyAlignment="1">
      <alignment/>
    </xf>
    <xf numFmtId="0" fontId="5" fillId="0" borderId="0" xfId="0" applyFont="1" applyFill="1" applyAlignment="1">
      <alignment/>
    </xf>
    <xf numFmtId="0" fontId="5" fillId="0" borderId="0" xfId="0" applyFont="1" applyFill="1" applyAlignment="1">
      <alignment horizontal="right"/>
    </xf>
    <xf numFmtId="0" fontId="6" fillId="0" borderId="43" xfId="0" applyFont="1" applyBorder="1" applyAlignment="1">
      <alignment horizontal="right"/>
    </xf>
    <xf numFmtId="0" fontId="6" fillId="0" borderId="47" xfId="0" applyFont="1" applyBorder="1" applyAlignment="1">
      <alignment horizontal="right"/>
    </xf>
    <xf numFmtId="0" fontId="5" fillId="0" borderId="0" xfId="0" applyNumberFormat="1" applyFont="1" applyBorder="1" applyAlignment="1">
      <alignment/>
    </xf>
    <xf numFmtId="0" fontId="5" fillId="0" borderId="0" xfId="0" applyFont="1" applyBorder="1" applyAlignment="1">
      <alignment horizontal="right"/>
    </xf>
    <xf numFmtId="0" fontId="5" fillId="0" borderId="30" xfId="0" applyFont="1" applyBorder="1" applyAlignment="1">
      <alignment horizontal="right"/>
    </xf>
    <xf numFmtId="0" fontId="7" fillId="3" borderId="0" xfId="0" applyFont="1" applyFill="1" applyAlignment="1">
      <alignment horizontal="right"/>
    </xf>
    <xf numFmtId="0" fontId="30" fillId="3" borderId="0" xfId="0" applyNumberFormat="1" applyFont="1" applyFill="1" applyAlignment="1">
      <alignment/>
    </xf>
    <xf numFmtId="0" fontId="30" fillId="3" borderId="0" xfId="0" applyFont="1" applyFill="1" applyAlignment="1">
      <alignment/>
    </xf>
    <xf numFmtId="0" fontId="30" fillId="3" borderId="0" xfId="0" applyFont="1" applyFill="1" applyAlignment="1">
      <alignment horizontal="left"/>
    </xf>
    <xf numFmtId="0" fontId="7" fillId="3" borderId="0" xfId="0" applyNumberFormat="1" applyFont="1" applyFill="1" applyAlignment="1">
      <alignment horizontal="left"/>
    </xf>
    <xf numFmtId="0" fontId="20" fillId="3" borderId="0" xfId="0" applyFont="1" applyFill="1" applyAlignment="1" applyProtection="1">
      <alignment/>
      <protection/>
    </xf>
    <xf numFmtId="0" fontId="7" fillId="3" borderId="26" xfId="0" applyFont="1" applyFill="1" applyBorder="1" applyAlignment="1" applyProtection="1">
      <alignment/>
      <protection/>
    </xf>
    <xf numFmtId="0" fontId="7" fillId="3" borderId="11" xfId="0" applyFont="1" applyFill="1" applyBorder="1" applyAlignment="1" applyProtection="1">
      <alignment/>
      <protection/>
    </xf>
    <xf numFmtId="0" fontId="21" fillId="2" borderId="53" xfId="0" applyFont="1" applyFill="1" applyBorder="1" applyAlignment="1" applyProtection="1">
      <alignment horizontal="center"/>
      <protection locked="0"/>
    </xf>
    <xf numFmtId="0" fontId="33" fillId="3" borderId="9" xfId="0" applyFont="1" applyFill="1" applyBorder="1" applyAlignment="1">
      <alignment/>
    </xf>
    <xf numFmtId="0" fontId="6" fillId="10" borderId="10" xfId="0" applyFont="1" applyFill="1" applyBorder="1" applyAlignment="1">
      <alignment/>
    </xf>
    <xf numFmtId="0" fontId="6" fillId="10" borderId="26" xfId="0" applyFont="1" applyFill="1" applyBorder="1" applyAlignment="1">
      <alignment/>
    </xf>
    <xf numFmtId="0" fontId="6" fillId="10" borderId="11" xfId="0" applyFont="1" applyFill="1" applyBorder="1" applyAlignment="1">
      <alignment/>
    </xf>
    <xf numFmtId="0" fontId="7" fillId="3" borderId="0" xfId="0" applyFont="1" applyFill="1" applyAlignment="1" applyProtection="1">
      <alignment horizontal="left"/>
      <protection/>
    </xf>
    <xf numFmtId="0" fontId="28" fillId="3" borderId="0" xfId="15" applyFont="1" applyFill="1" applyAlignment="1">
      <alignment/>
    </xf>
    <xf numFmtId="0" fontId="6" fillId="0" borderId="0" xfId="0" applyFont="1" applyAlignment="1">
      <alignment/>
    </xf>
    <xf numFmtId="0" fontId="6" fillId="9" borderId="17" xfId="0" applyFont="1" applyFill="1" applyBorder="1" applyAlignment="1" quotePrefix="1">
      <alignment horizontal="center"/>
    </xf>
    <xf numFmtId="0" fontId="6" fillId="11" borderId="23" xfId="0" applyFont="1" applyFill="1" applyBorder="1" applyAlignment="1">
      <alignment horizontal="left"/>
    </xf>
    <xf numFmtId="0" fontId="6" fillId="11" borderId="1" xfId="0" applyFont="1" applyFill="1" applyBorder="1" applyAlignment="1">
      <alignment horizontal="left"/>
    </xf>
    <xf numFmtId="182" fontId="6" fillId="2" borderId="39" xfId="0" applyNumberFormat="1" applyFont="1" applyFill="1" applyBorder="1" applyAlignment="1">
      <alignment horizontal="center"/>
    </xf>
    <xf numFmtId="0" fontId="6" fillId="0" borderId="32" xfId="0" applyFont="1" applyFill="1" applyBorder="1" applyAlignment="1">
      <alignment horizontal="right"/>
    </xf>
    <xf numFmtId="0" fontId="6" fillId="2" borderId="54" xfId="0" applyFont="1" applyFill="1" applyBorder="1" applyAlignment="1">
      <alignment horizontal="right"/>
    </xf>
    <xf numFmtId="0" fontId="6" fillId="7" borderId="40" xfId="0" applyFont="1" applyFill="1" applyBorder="1" applyAlignment="1">
      <alignment horizontal="left"/>
    </xf>
    <xf numFmtId="182" fontId="6" fillId="2" borderId="41" xfId="0" applyNumberFormat="1" applyFont="1" applyFill="1" applyBorder="1" applyAlignment="1">
      <alignment horizontal="center"/>
    </xf>
    <xf numFmtId="9" fontId="6" fillId="2" borderId="41" xfId="0" applyNumberFormat="1" applyFont="1" applyFill="1" applyBorder="1" applyAlignment="1">
      <alignment horizontal="center"/>
    </xf>
    <xf numFmtId="1" fontId="6" fillId="2" borderId="39" xfId="0" applyNumberFormat="1" applyFont="1" applyFill="1" applyBorder="1" applyAlignment="1">
      <alignment horizontal="center"/>
    </xf>
    <xf numFmtId="0" fontId="6" fillId="5" borderId="36" xfId="0" applyFont="1" applyFill="1" applyBorder="1" applyAlignment="1">
      <alignment horizontal="left"/>
    </xf>
    <xf numFmtId="9" fontId="6" fillId="2" borderId="27" xfId="0" applyNumberFormat="1" applyFont="1" applyFill="1" applyBorder="1" applyAlignment="1">
      <alignment horizontal="center"/>
    </xf>
    <xf numFmtId="9" fontId="6" fillId="10" borderId="27" xfId="0" applyNumberFormat="1" applyFont="1" applyFill="1" applyBorder="1" applyAlignment="1">
      <alignment horizontal="center"/>
    </xf>
    <xf numFmtId="0" fontId="6" fillId="2" borderId="24" xfId="0" applyFont="1" applyFill="1" applyBorder="1" applyAlignment="1">
      <alignment horizontal="center"/>
    </xf>
    <xf numFmtId="9" fontId="6" fillId="10" borderId="24" xfId="0" applyNumberFormat="1" applyFont="1" applyFill="1" applyBorder="1" applyAlignment="1">
      <alignment horizontal="center"/>
    </xf>
    <xf numFmtId="0" fontId="28" fillId="3" borderId="0" xfId="15" applyFont="1" applyFill="1" applyBorder="1" applyAlignment="1" applyProtection="1">
      <alignment horizontal="right" vertical="top"/>
      <protection/>
    </xf>
    <xf numFmtId="0" fontId="28" fillId="3" borderId="0" xfId="15" applyFont="1" applyFill="1" applyAlignment="1" applyProtection="1">
      <alignment vertical="center"/>
      <protection/>
    </xf>
    <xf numFmtId="0" fontId="6" fillId="4" borderId="43" xfId="0" applyFont="1" applyFill="1" applyBorder="1" applyAlignment="1" applyProtection="1">
      <alignment vertical="center"/>
      <protection/>
    </xf>
    <xf numFmtId="0" fontId="7" fillId="3" borderId="51" xfId="0" applyFont="1" applyFill="1" applyBorder="1" applyAlignment="1" applyProtection="1">
      <alignment horizontal="right" vertical="center"/>
      <protection/>
    </xf>
    <xf numFmtId="178" fontId="5" fillId="3" borderId="27" xfId="0" applyNumberFormat="1" applyFont="1" applyFill="1" applyBorder="1" applyAlignment="1" applyProtection="1">
      <alignment horizontal="left" vertical="center"/>
      <protection/>
    </xf>
    <xf numFmtId="0" fontId="5" fillId="3" borderId="27" xfId="0" applyFont="1" applyFill="1" applyBorder="1" applyAlignment="1" applyProtection="1">
      <alignment vertical="center"/>
      <protection/>
    </xf>
    <xf numFmtId="182" fontId="6" fillId="3" borderId="32" xfId="0" applyNumberFormat="1" applyFont="1" applyFill="1" applyBorder="1" applyAlignment="1" applyProtection="1">
      <alignment horizontal="center" vertical="center"/>
      <protection/>
    </xf>
    <xf numFmtId="9" fontId="5" fillId="3" borderId="27" xfId="0" applyNumberFormat="1" applyFont="1" applyFill="1" applyBorder="1" applyAlignment="1" applyProtection="1">
      <alignment horizontal="center" vertical="center"/>
      <protection/>
    </xf>
    <xf numFmtId="9" fontId="5" fillId="3" borderId="9" xfId="0" applyNumberFormat="1" applyFont="1" applyFill="1" applyBorder="1" applyAlignment="1" applyProtection="1">
      <alignment horizontal="center" vertical="center"/>
      <protection/>
    </xf>
    <xf numFmtId="180" fontId="5" fillId="3" borderId="9" xfId="0" applyNumberFormat="1" applyFont="1" applyFill="1" applyBorder="1" applyAlignment="1" applyProtection="1">
      <alignment horizontal="center" vertical="center"/>
      <protection/>
    </xf>
    <xf numFmtId="182" fontId="6" fillId="3" borderId="32" xfId="0" applyNumberFormat="1" applyFont="1" applyFill="1" applyBorder="1" applyAlignment="1" applyProtection="1">
      <alignment horizontal="center" vertical="top"/>
      <protection/>
    </xf>
    <xf numFmtId="182" fontId="6" fillId="3" borderId="55" xfId="0" applyNumberFormat="1" applyFont="1" applyFill="1" applyBorder="1" applyAlignment="1" applyProtection="1">
      <alignment horizontal="center" vertical="center"/>
      <protection/>
    </xf>
    <xf numFmtId="0" fontId="6" fillId="8" borderId="40" xfId="0" applyFont="1" applyFill="1" applyBorder="1" applyAlignment="1" applyProtection="1">
      <alignment vertical="center"/>
      <protection/>
    </xf>
    <xf numFmtId="0" fontId="5" fillId="8" borderId="56" xfId="0" applyFont="1" applyFill="1" applyBorder="1" applyAlignment="1" applyProtection="1">
      <alignment vertical="center"/>
      <protection/>
    </xf>
    <xf numFmtId="0" fontId="6" fillId="8" borderId="54" xfId="0" applyFont="1" applyFill="1" applyBorder="1" applyAlignment="1" applyProtection="1">
      <alignment vertical="center"/>
      <protection/>
    </xf>
    <xf numFmtId="0" fontId="5" fillId="8" borderId="32" xfId="0" applyFont="1" applyFill="1" applyBorder="1" applyAlignment="1" applyProtection="1">
      <alignment vertical="center"/>
      <protection/>
    </xf>
    <xf numFmtId="0" fontId="6" fillId="8" borderId="9" xfId="0" applyFont="1" applyFill="1" applyBorder="1" applyAlignment="1" applyProtection="1">
      <alignment horizontal="left"/>
      <protection/>
    </xf>
    <xf numFmtId="0" fontId="6" fillId="8" borderId="54" xfId="0" applyFont="1" applyFill="1" applyBorder="1" applyAlignment="1" applyProtection="1">
      <alignment horizontal="right" vertical="justify"/>
      <protection/>
    </xf>
    <xf numFmtId="0" fontId="7" fillId="3" borderId="0" xfId="0" applyFont="1" applyFill="1" applyAlignment="1" applyProtection="1">
      <alignment vertical="top"/>
      <protection/>
    </xf>
    <xf numFmtId="0" fontId="7" fillId="4" borderId="57" xfId="0" applyFont="1" applyFill="1" applyBorder="1" applyAlignment="1" applyProtection="1">
      <alignment horizontal="center" vertical="center"/>
      <protection/>
    </xf>
    <xf numFmtId="0" fontId="7" fillId="3" borderId="14" xfId="0" applyFont="1" applyFill="1" applyBorder="1" applyAlignment="1" applyProtection="1">
      <alignment horizontal="center"/>
      <protection/>
    </xf>
    <xf numFmtId="0" fontId="7" fillId="4" borderId="23"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0" fillId="0" borderId="0" xfId="0" applyFont="1" applyFill="1" applyAlignment="1" applyProtection="1">
      <alignment/>
      <protection/>
    </xf>
    <xf numFmtId="0" fontId="5" fillId="0" borderId="0" xfId="0" applyFont="1" applyFill="1" applyBorder="1" applyAlignment="1" applyProtection="1">
      <alignment horizontal="right" vertical="center"/>
      <protection/>
    </xf>
    <xf numFmtId="0" fontId="6" fillId="0" borderId="0" xfId="0" applyFont="1" applyFill="1" applyBorder="1" applyAlignment="1" applyProtection="1">
      <alignment vertical="center"/>
      <protection/>
    </xf>
    <xf numFmtId="0" fontId="4" fillId="0" borderId="0" xfId="0" applyFont="1" applyAlignment="1">
      <alignment/>
    </xf>
    <xf numFmtId="0" fontId="6" fillId="8" borderId="9" xfId="0" applyFont="1" applyFill="1" applyBorder="1" applyAlignment="1">
      <alignment horizontal="center"/>
    </xf>
    <xf numFmtId="0" fontId="6" fillId="8" borderId="9" xfId="0" applyFont="1" applyFill="1" applyBorder="1" applyAlignment="1">
      <alignment horizontal="right"/>
    </xf>
    <xf numFmtId="0" fontId="30" fillId="0" borderId="0" xfId="0" applyFont="1" applyFill="1" applyAlignment="1">
      <alignment horizontal="left"/>
    </xf>
    <xf numFmtId="0" fontId="40" fillId="0" borderId="0" xfId="0" applyFont="1" applyAlignment="1">
      <alignment/>
    </xf>
    <xf numFmtId="0" fontId="41" fillId="0" borderId="0" xfId="0" applyFont="1" applyAlignment="1">
      <alignment/>
    </xf>
    <xf numFmtId="0" fontId="6" fillId="0" borderId="9" xfId="0" applyFont="1" applyFill="1" applyBorder="1" applyAlignment="1">
      <alignment horizontal="right"/>
    </xf>
    <xf numFmtId="0" fontId="4" fillId="0" borderId="0" xfId="0" applyFont="1" applyFill="1" applyAlignment="1" applyProtection="1">
      <alignment horizontal="left"/>
      <protection/>
    </xf>
    <xf numFmtId="9" fontId="5" fillId="0" borderId="9" xfId="0" applyFont="1" applyBorder="1" applyAlignment="1">
      <alignment horizontal="right" vertical="top"/>
    </xf>
    <xf numFmtId="9" fontId="6" fillId="0" borderId="0" xfId="0" applyNumberFormat="1" applyFont="1" applyFill="1" applyBorder="1" applyAlignment="1" applyProtection="1">
      <alignment horizontal="center" vertical="justify"/>
      <protection/>
    </xf>
    <xf numFmtId="0" fontId="6" fillId="3" borderId="27" xfId="0" applyFont="1" applyFill="1" applyBorder="1" applyAlignment="1" applyProtection="1">
      <alignment horizontal="left"/>
      <protection/>
    </xf>
    <xf numFmtId="1" fontId="6" fillId="3" borderId="27" xfId="0" applyNumberFormat="1" applyFont="1" applyFill="1" applyBorder="1" applyAlignment="1" applyProtection="1">
      <alignment horizontal="center"/>
      <protection/>
    </xf>
    <xf numFmtId="0" fontId="6" fillId="3" borderId="58" xfId="0" applyFont="1" applyFill="1" applyBorder="1" applyAlignment="1" applyProtection="1">
      <alignment/>
      <protection/>
    </xf>
    <xf numFmtId="180" fontId="6" fillId="0" borderId="59" xfId="0" applyNumberFormat="1" applyFont="1" applyFill="1" applyBorder="1" applyAlignment="1" applyProtection="1">
      <alignment horizontal="center"/>
      <protection locked="0"/>
    </xf>
    <xf numFmtId="0" fontId="6" fillId="3" borderId="7" xfId="0" applyFont="1" applyFill="1" applyBorder="1" applyAlignment="1" applyProtection="1">
      <alignment/>
      <protection/>
    </xf>
    <xf numFmtId="180" fontId="6" fillId="0" borderId="15" xfId="0" applyNumberFormat="1" applyFont="1" applyFill="1" applyBorder="1" applyAlignment="1" applyProtection="1">
      <alignment horizontal="center"/>
      <protection locked="0"/>
    </xf>
    <xf numFmtId="0" fontId="6" fillId="3" borderId="16" xfId="0" applyFont="1" applyFill="1" applyBorder="1" applyAlignment="1" applyProtection="1">
      <alignment/>
      <protection/>
    </xf>
    <xf numFmtId="0" fontId="6" fillId="3" borderId="39" xfId="0" applyFont="1" applyFill="1" applyBorder="1" applyAlignment="1" applyProtection="1">
      <alignment horizontal="center"/>
      <protection/>
    </xf>
    <xf numFmtId="0" fontId="6" fillId="8" borderId="58" xfId="0" applyFont="1" applyFill="1" applyBorder="1" applyAlignment="1" applyProtection="1">
      <alignment horizontal="left"/>
      <protection/>
    </xf>
    <xf numFmtId="9" fontId="6" fillId="2" borderId="59" xfId="0" applyNumberFormat="1" applyFont="1" applyFill="1" applyBorder="1" applyAlignment="1" applyProtection="1">
      <alignment horizontal="center"/>
      <protection/>
    </xf>
    <xf numFmtId="0" fontId="6" fillId="8" borderId="7" xfId="0" applyFont="1" applyFill="1" applyBorder="1" applyAlignment="1" applyProtection="1">
      <alignment horizontal="left"/>
      <protection/>
    </xf>
    <xf numFmtId="9" fontId="6" fillId="2" borderId="15" xfId="0" applyNumberFormat="1" applyFont="1" applyFill="1" applyBorder="1" applyAlignment="1" applyProtection="1">
      <alignment horizontal="center"/>
      <protection/>
    </xf>
    <xf numFmtId="0" fontId="6" fillId="8" borderId="16" xfId="0" applyFont="1" applyFill="1" applyBorder="1" applyAlignment="1" applyProtection="1">
      <alignment horizontal="left"/>
      <protection/>
    </xf>
    <xf numFmtId="9" fontId="6" fillId="2" borderId="17" xfId="0" applyNumberFormat="1" applyFont="1" applyFill="1" applyBorder="1" applyAlignment="1" applyProtection="1">
      <alignment horizontal="center"/>
      <protection/>
    </xf>
    <xf numFmtId="0" fontId="6" fillId="8" borderId="40" xfId="0" applyFont="1" applyFill="1" applyBorder="1" applyAlignment="1" applyProtection="1">
      <alignment horizontal="left"/>
      <protection/>
    </xf>
    <xf numFmtId="9" fontId="6" fillId="0" borderId="39" xfId="0" applyNumberFormat="1" applyFont="1" applyFill="1" applyBorder="1" applyAlignment="1" applyProtection="1">
      <alignment horizontal="center"/>
      <protection/>
    </xf>
    <xf numFmtId="0" fontId="6" fillId="8" borderId="40" xfId="0" applyFont="1" applyFill="1" applyBorder="1" applyAlignment="1" applyProtection="1">
      <alignment/>
      <protection/>
    </xf>
    <xf numFmtId="0" fontId="7" fillId="3" borderId="57" xfId="0" applyFont="1" applyFill="1" applyBorder="1" applyAlignment="1" applyProtection="1" quotePrefix="1">
      <alignment horizontal="center"/>
      <protection/>
    </xf>
    <xf numFmtId="0" fontId="28" fillId="3" borderId="0" xfId="15" applyFont="1" applyFill="1" applyAlignment="1" applyProtection="1">
      <alignment vertical="top"/>
      <protection/>
    </xf>
    <xf numFmtId="0" fontId="28" fillId="3" borderId="0" xfId="15" applyFont="1" applyFill="1" applyAlignment="1" applyProtection="1">
      <alignment horizontal="right"/>
      <protection/>
    </xf>
    <xf numFmtId="0" fontId="21" fillId="3" borderId="9" xfId="0" applyFont="1" applyFill="1" applyBorder="1" applyAlignment="1">
      <alignment horizontal="center"/>
    </xf>
    <xf numFmtId="0" fontId="6" fillId="8" borderId="9" xfId="0" applyFont="1" applyFill="1" applyBorder="1" applyAlignment="1" applyProtection="1">
      <alignment/>
      <protection/>
    </xf>
    <xf numFmtId="0" fontId="21" fillId="8" borderId="9" xfId="0" applyFont="1" applyFill="1" applyBorder="1" applyAlignment="1">
      <alignment/>
    </xf>
    <xf numFmtId="189" fontId="5" fillId="3" borderId="11" xfId="0" applyNumberFormat="1" applyFont="1" applyFill="1" applyBorder="1" applyAlignment="1" applyProtection="1">
      <alignment horizontal="center" vertical="center"/>
      <protection/>
    </xf>
    <xf numFmtId="189" fontId="5" fillId="3" borderId="7" xfId="0" applyNumberFormat="1" applyFont="1" applyFill="1" applyBorder="1" applyAlignment="1" applyProtection="1">
      <alignment horizontal="center" vertical="center"/>
      <protection/>
    </xf>
    <xf numFmtId="0" fontId="6" fillId="3" borderId="57" xfId="0" applyFont="1" applyFill="1" applyBorder="1" applyAlignment="1" applyProtection="1">
      <alignment horizontal="center"/>
      <protection/>
    </xf>
    <xf numFmtId="9" fontId="6" fillId="3" borderId="9" xfId="0" applyNumberFormat="1" applyFont="1" applyFill="1" applyBorder="1" applyAlignment="1" applyProtection="1">
      <alignment horizontal="center"/>
      <protection/>
    </xf>
    <xf numFmtId="182" fontId="6" fillId="3" borderId="9" xfId="0" applyNumberFormat="1" applyFont="1" applyFill="1" applyBorder="1" applyAlignment="1" applyProtection="1">
      <alignment horizontal="center"/>
      <protection/>
    </xf>
    <xf numFmtId="0" fontId="6" fillId="8" borderId="10" xfId="0" applyFont="1" applyFill="1" applyBorder="1" applyAlignment="1">
      <alignment wrapText="1"/>
    </xf>
    <xf numFmtId="0" fontId="34" fillId="8" borderId="45" xfId="0" applyFont="1" applyFill="1" applyBorder="1" applyAlignment="1">
      <alignment wrapText="1"/>
    </xf>
    <xf numFmtId="0" fontId="6" fillId="8" borderId="11" xfId="0" applyFont="1" applyFill="1" applyBorder="1" applyAlignment="1">
      <alignment/>
    </xf>
    <xf numFmtId="0" fontId="6" fillId="8" borderId="10" xfId="0" applyFont="1" applyFill="1" applyBorder="1" applyAlignment="1">
      <alignment/>
    </xf>
    <xf numFmtId="0" fontId="6" fillId="8" borderId="10" xfId="0" applyFont="1" applyFill="1" applyBorder="1" applyAlignment="1">
      <alignment horizontal="center"/>
    </xf>
    <xf numFmtId="0" fontId="42" fillId="3" borderId="0" xfId="15" applyFont="1" applyFill="1" applyAlignment="1" applyProtection="1">
      <alignment/>
      <protection/>
    </xf>
    <xf numFmtId="0" fontId="7" fillId="3" borderId="29" xfId="0" applyFont="1" applyFill="1" applyBorder="1" applyAlignment="1" applyProtection="1">
      <alignment/>
      <protection/>
    </xf>
    <xf numFmtId="0" fontId="6" fillId="2" borderId="60" xfId="0" applyFont="1" applyFill="1" applyBorder="1" applyAlignment="1">
      <alignment horizontal="right"/>
    </xf>
    <xf numFmtId="0" fontId="43" fillId="0" borderId="0" xfId="15" applyFont="1" applyAlignment="1">
      <alignment/>
    </xf>
    <xf numFmtId="1" fontId="6" fillId="2" borderId="61" xfId="0" applyNumberFormat="1" applyFont="1" applyFill="1" applyBorder="1" applyAlignment="1" applyProtection="1">
      <alignment horizontal="center"/>
      <protection locked="0"/>
    </xf>
    <xf numFmtId="1" fontId="6" fillId="2" borderId="10" xfId="0" applyNumberFormat="1" applyFont="1" applyFill="1" applyBorder="1" applyAlignment="1" applyProtection="1">
      <alignment horizontal="center"/>
      <protection locked="0"/>
    </xf>
    <xf numFmtId="1" fontId="6" fillId="2" borderId="52" xfId="0" applyNumberFormat="1" applyFont="1" applyFill="1" applyBorder="1" applyAlignment="1" applyProtection="1">
      <alignment horizontal="center"/>
      <protection locked="0"/>
    </xf>
    <xf numFmtId="1" fontId="6" fillId="7" borderId="62" xfId="0" applyNumberFormat="1" applyFont="1" applyFill="1" applyBorder="1" applyAlignment="1">
      <alignment horizontal="center"/>
    </xf>
    <xf numFmtId="0" fontId="10" fillId="3" borderId="0" xfId="0" applyFont="1" applyFill="1" applyAlignment="1" applyProtection="1">
      <alignment horizontal="left" vertical="top"/>
      <protection/>
    </xf>
    <xf numFmtId="0" fontId="13" fillId="0" borderId="0" xfId="0" applyFont="1" applyFill="1" applyBorder="1" applyAlignment="1" applyProtection="1">
      <alignment vertical="center"/>
      <protection/>
    </xf>
    <xf numFmtId="0" fontId="13" fillId="0" borderId="0" xfId="0" applyFont="1" applyFill="1" applyBorder="1" applyAlignment="1" applyProtection="1">
      <alignment horizontal="right" vertical="center"/>
      <protection/>
    </xf>
    <xf numFmtId="0" fontId="5" fillId="0" borderId="11" xfId="0" applyFont="1" applyFill="1" applyBorder="1" applyAlignment="1" applyProtection="1">
      <alignment/>
      <protection/>
    </xf>
    <xf numFmtId="0" fontId="6" fillId="0" borderId="10" xfId="0" applyFont="1" applyFill="1" applyBorder="1" applyAlignment="1" applyProtection="1">
      <alignment horizontal="left"/>
      <protection/>
    </xf>
    <xf numFmtId="0" fontId="6" fillId="8" borderId="10" xfId="0" applyFont="1" applyFill="1" applyBorder="1" applyAlignment="1" applyProtection="1">
      <alignment horizontal="left"/>
      <protection/>
    </xf>
    <xf numFmtId="0" fontId="6" fillId="8" borderId="11" xfId="0" applyFont="1" applyFill="1" applyBorder="1" applyAlignment="1" applyProtection="1">
      <alignment/>
      <protection/>
    </xf>
    <xf numFmtId="0" fontId="6" fillId="8" borderId="9" xfId="0" applyFont="1" applyFill="1" applyBorder="1" applyAlignment="1" applyProtection="1">
      <alignment/>
      <protection/>
    </xf>
    <xf numFmtId="0" fontId="6" fillId="0" borderId="9" xfId="0" applyFont="1" applyFill="1" applyBorder="1" applyAlignment="1" applyProtection="1">
      <alignment/>
      <protection locked="0"/>
    </xf>
    <xf numFmtId="0" fontId="28" fillId="3" borderId="0" xfId="15" applyFont="1" applyFill="1" applyAlignment="1" applyProtection="1">
      <alignment/>
      <protection/>
    </xf>
    <xf numFmtId="0" fontId="11" fillId="0" borderId="0" xfId="0" applyFont="1" applyFill="1" applyAlignment="1">
      <alignment horizontal="left"/>
    </xf>
    <xf numFmtId="0" fontId="30" fillId="3" borderId="0" xfId="0" applyFont="1" applyFill="1" applyAlignment="1">
      <alignment vertical="top" wrapText="1"/>
    </xf>
    <xf numFmtId="0" fontId="11" fillId="3" borderId="0" xfId="0" applyFont="1" applyFill="1" applyAlignment="1">
      <alignment vertical="top" wrapText="1"/>
    </xf>
    <xf numFmtId="9" fontId="45" fillId="11" borderId="57" xfId="0" applyNumberFormat="1" applyFont="1" applyFill="1" applyBorder="1" applyAlignment="1">
      <alignment horizontal="center" vertical="center"/>
    </xf>
    <xf numFmtId="9" fontId="45" fillId="11" borderId="27" xfId="0" applyNumberFormat="1" applyFont="1" applyFill="1" applyBorder="1" applyAlignment="1">
      <alignment horizontal="center" vertical="center"/>
    </xf>
    <xf numFmtId="9" fontId="45" fillId="11" borderId="24" xfId="0" applyNumberFormat="1" applyFont="1" applyFill="1" applyBorder="1" applyAlignment="1">
      <alignment horizontal="center" vertical="center"/>
    </xf>
    <xf numFmtId="0" fontId="44" fillId="11" borderId="23" xfId="0" applyFont="1" applyFill="1" applyBorder="1" applyAlignment="1">
      <alignment vertical="center"/>
    </xf>
    <xf numFmtId="9" fontId="45" fillId="11" borderId="11" xfId="0" applyNumberFormat="1" applyFont="1" applyFill="1" applyBorder="1" applyAlignment="1">
      <alignment horizontal="center" vertical="center"/>
    </xf>
    <xf numFmtId="9" fontId="45" fillId="11" borderId="42" xfId="0" applyNumberFormat="1" applyFont="1" applyFill="1" applyBorder="1" applyAlignment="1">
      <alignment horizontal="center" vertical="center"/>
    </xf>
    <xf numFmtId="9" fontId="45" fillId="11" borderId="35" xfId="0" applyNumberFormat="1" applyFont="1" applyFill="1" applyBorder="1" applyAlignment="1">
      <alignment horizontal="center" vertical="center"/>
    </xf>
    <xf numFmtId="0" fontId="13" fillId="3" borderId="29" xfId="0" applyFont="1" applyFill="1" applyBorder="1" applyAlignment="1">
      <alignment/>
    </xf>
    <xf numFmtId="0" fontId="14" fillId="3" borderId="0" xfId="0" applyFont="1" applyFill="1" applyAlignment="1">
      <alignment horizontal="left"/>
    </xf>
    <xf numFmtId="0" fontId="5" fillId="3" borderId="0" xfId="0" applyFont="1" applyFill="1" applyAlignment="1">
      <alignment horizontal="left"/>
    </xf>
    <xf numFmtId="0" fontId="36" fillId="3" borderId="0" xfId="0" applyFont="1" applyFill="1" applyBorder="1" applyAlignment="1">
      <alignment/>
    </xf>
    <xf numFmtId="0" fontId="31" fillId="3" borderId="0" xfId="0" applyFont="1" applyFill="1" applyAlignment="1">
      <alignment/>
    </xf>
    <xf numFmtId="182" fontId="20" fillId="3" borderId="0" xfId="0" applyNumberFormat="1" applyFont="1" applyFill="1" applyBorder="1" applyAlignment="1">
      <alignment horizontal="right"/>
    </xf>
    <xf numFmtId="9" fontId="6" fillId="3" borderId="0" xfId="0" applyNumberFormat="1" applyFont="1" applyFill="1" applyBorder="1" applyAlignment="1">
      <alignment horizontal="center"/>
    </xf>
    <xf numFmtId="0" fontId="6" fillId="3" borderId="0" xfId="0" applyFont="1" applyFill="1" applyBorder="1" applyAlignment="1">
      <alignment horizontal="center"/>
    </xf>
    <xf numFmtId="0" fontId="20" fillId="3" borderId="0" xfId="0" applyFont="1" applyFill="1" applyAlignment="1">
      <alignment/>
    </xf>
    <xf numFmtId="0" fontId="5" fillId="3" borderId="63" xfId="0" applyFont="1" applyFill="1" applyBorder="1" applyAlignment="1">
      <alignment/>
    </xf>
    <xf numFmtId="0" fontId="30" fillId="3" borderId="9" xfId="0" applyFont="1" applyFill="1" applyBorder="1" applyAlignment="1">
      <alignment horizontal="right"/>
    </xf>
    <xf numFmtId="9" fontId="20" fillId="3" borderId="9" xfId="0" applyNumberFormat="1" applyFont="1" applyFill="1" applyBorder="1" applyAlignment="1">
      <alignment horizontal="left"/>
    </xf>
    <xf numFmtId="0" fontId="7" fillId="3" borderId="9" xfId="0" applyFont="1" applyFill="1" applyBorder="1" applyAlignment="1">
      <alignment horizontal="right"/>
    </xf>
    <xf numFmtId="180" fontId="7" fillId="3" borderId="9" xfId="0" applyNumberFormat="1" applyFont="1" applyFill="1" applyBorder="1" applyAlignment="1">
      <alignment horizontal="right"/>
    </xf>
    <xf numFmtId="0" fontId="6" fillId="3" borderId="0" xfId="0" applyFont="1" applyFill="1" applyBorder="1" applyAlignment="1">
      <alignment horizontal="right"/>
    </xf>
    <xf numFmtId="0" fontId="7" fillId="3" borderId="0" xfId="0" applyFont="1" applyFill="1" applyBorder="1" applyAlignment="1">
      <alignment/>
    </xf>
    <xf numFmtId="0" fontId="6" fillId="3" borderId="0" xfId="0" applyFont="1" applyFill="1" applyBorder="1" applyAlignment="1">
      <alignment horizontal="left"/>
    </xf>
    <xf numFmtId="0" fontId="6" fillId="3" borderId="0" xfId="0" applyFont="1" applyFill="1" applyBorder="1" applyAlignment="1" quotePrefix="1">
      <alignment horizontal="left"/>
    </xf>
    <xf numFmtId="0" fontId="5" fillId="3" borderId="0" xfId="0" applyFont="1" applyFill="1" applyBorder="1" applyAlignment="1" quotePrefix="1">
      <alignment horizontal="left"/>
    </xf>
    <xf numFmtId="1" fontId="6" fillId="3" borderId="0" xfId="0" applyNumberFormat="1" applyFont="1" applyFill="1" applyBorder="1" applyAlignment="1">
      <alignment horizontal="center"/>
    </xf>
    <xf numFmtId="0" fontId="6" fillId="3" borderId="0" xfId="0" applyFont="1" applyFill="1" applyBorder="1" applyAlignment="1">
      <alignment horizontal="center"/>
    </xf>
    <xf numFmtId="0" fontId="6" fillId="3" borderId="0" xfId="0" applyFont="1" applyFill="1" applyBorder="1" applyAlignment="1">
      <alignment horizontal="right"/>
    </xf>
    <xf numFmtId="9" fontId="6" fillId="3" borderId="0" xfId="0" applyNumberFormat="1" applyFont="1" applyFill="1" applyBorder="1" applyAlignment="1" quotePrefix="1">
      <alignment horizontal="center"/>
    </xf>
    <xf numFmtId="182" fontId="6" fillId="3" borderId="0" xfId="0" applyNumberFormat="1" applyFont="1" applyFill="1" applyBorder="1" applyAlignment="1">
      <alignment horizontal="center"/>
    </xf>
    <xf numFmtId="0" fontId="4" fillId="3" borderId="0" xfId="0" applyFont="1" applyFill="1" applyAlignment="1">
      <alignment/>
    </xf>
    <xf numFmtId="0" fontId="20" fillId="3" borderId="0" xfId="0" applyFont="1" applyFill="1" applyAlignment="1" quotePrefix="1">
      <alignment/>
    </xf>
    <xf numFmtId="0" fontId="20" fillId="3" borderId="0" xfId="0" applyFont="1" applyFill="1" applyAlignment="1" quotePrefix="1">
      <alignment horizontal="left"/>
    </xf>
    <xf numFmtId="0" fontId="4" fillId="3" borderId="0" xfId="0" applyFont="1" applyFill="1" applyAlignment="1">
      <alignment horizontal="left"/>
    </xf>
    <xf numFmtId="0" fontId="28" fillId="3" borderId="0" xfId="15" applyFont="1" applyFill="1" applyBorder="1" applyAlignment="1">
      <alignment horizontal="left"/>
    </xf>
    <xf numFmtId="0" fontId="46" fillId="3" borderId="0" xfId="15" applyFont="1" applyFill="1" applyAlignment="1">
      <alignment horizontal="center"/>
    </xf>
    <xf numFmtId="0" fontId="13" fillId="3" borderId="0" xfId="0" applyFont="1" applyFill="1" applyAlignment="1">
      <alignment horizontal="right"/>
    </xf>
    <xf numFmtId="0" fontId="20" fillId="3" borderId="29" xfId="0" applyFont="1" applyFill="1" applyBorder="1" applyAlignment="1" quotePrefix="1">
      <alignment/>
    </xf>
    <xf numFmtId="0" fontId="20" fillId="3" borderId="0" xfId="0" applyFont="1" applyFill="1" applyBorder="1" applyAlignment="1" quotePrefix="1">
      <alignment/>
    </xf>
    <xf numFmtId="0" fontId="20" fillId="0" borderId="0" xfId="0" applyFont="1" applyAlignment="1">
      <alignment vertical="center" wrapText="1"/>
    </xf>
    <xf numFmtId="0" fontId="36" fillId="0" borderId="0" xfId="0" applyFont="1" applyAlignment="1">
      <alignment vertical="center" wrapText="1"/>
    </xf>
    <xf numFmtId="0" fontId="36" fillId="0" borderId="0" xfId="0" applyFont="1" applyAlignment="1">
      <alignment vertical="top" wrapText="1"/>
    </xf>
    <xf numFmtId="0" fontId="13" fillId="0" borderId="0" xfId="0" applyFont="1" applyAlignment="1">
      <alignment horizontal="right"/>
    </xf>
    <xf numFmtId="0" fontId="6" fillId="0" borderId="54" xfId="0" applyFont="1" applyFill="1" applyBorder="1" applyAlignment="1" applyProtection="1">
      <alignment horizontal="left" vertical="justify"/>
      <protection/>
    </xf>
    <xf numFmtId="0" fontId="6" fillId="0" borderId="55" xfId="0" applyFont="1" applyFill="1" applyBorder="1" applyAlignment="1" applyProtection="1">
      <alignment horizontal="left" vertical="justify"/>
      <protection/>
    </xf>
    <xf numFmtId="178" fontId="10" fillId="0" borderId="26" xfId="0" applyNumberFormat="1" applyFont="1" applyFill="1" applyBorder="1" applyAlignment="1" applyProtection="1">
      <alignment horizontal="left" vertical="center"/>
      <protection/>
    </xf>
    <xf numFmtId="178" fontId="10" fillId="0" borderId="11" xfId="0" applyNumberFormat="1" applyFont="1" applyFill="1" applyBorder="1" applyAlignment="1" applyProtection="1">
      <alignment horizontal="left" vertical="center"/>
      <protection/>
    </xf>
    <xf numFmtId="178" fontId="14" fillId="3" borderId="0" xfId="0" applyNumberFormat="1" applyFont="1" applyFill="1" applyBorder="1" applyAlignment="1" applyProtection="1">
      <alignment horizontal="left" vertical="center"/>
      <protection/>
    </xf>
    <xf numFmtId="0" fontId="6" fillId="3" borderId="0" xfId="0" applyFont="1" applyFill="1" applyBorder="1" applyAlignment="1" applyProtection="1">
      <alignment horizontal="left" vertical="center"/>
      <protection/>
    </xf>
    <xf numFmtId="0" fontId="6" fillId="3" borderId="30" xfId="0" applyFont="1" applyFill="1" applyBorder="1" applyAlignment="1" applyProtection="1">
      <alignment horizontal="center" vertical="center"/>
      <protection/>
    </xf>
    <xf numFmtId="0" fontId="6" fillId="8" borderId="9" xfId="0" applyFont="1" applyFill="1" applyBorder="1" applyAlignment="1">
      <alignment horizontal="center"/>
    </xf>
    <xf numFmtId="0" fontId="36" fillId="0" borderId="0" xfId="0" applyFont="1" applyAlignment="1">
      <alignment vertical="center" wrapText="1"/>
    </xf>
    <xf numFmtId="0" fontId="19" fillId="0" borderId="0" xfId="0" applyFont="1" applyAlignment="1">
      <alignment horizontal="center"/>
    </xf>
    <xf numFmtId="0" fontId="13" fillId="0" borderId="29" xfId="0" applyFont="1" applyBorder="1" applyAlignment="1">
      <alignment horizontal="center"/>
    </xf>
    <xf numFmtId="0" fontId="36" fillId="0" borderId="0" xfId="0" applyFont="1" applyAlignment="1">
      <alignment/>
    </xf>
    <xf numFmtId="0" fontId="36" fillId="0" borderId="0" xfId="0" applyFont="1" applyAlignment="1">
      <alignment horizontal="left" vertical="center" wrapText="1"/>
    </xf>
    <xf numFmtId="0" fontId="7" fillId="3" borderId="0" xfId="0" applyFont="1" applyFill="1" applyBorder="1" applyAlignment="1" applyProtection="1">
      <alignment vertical="center" wrapText="1"/>
      <protection/>
    </xf>
    <xf numFmtId="0" fontId="10" fillId="0" borderId="10" xfId="0" applyFont="1" applyFill="1" applyBorder="1" applyAlignment="1" applyProtection="1">
      <alignment vertical="center"/>
      <protection/>
    </xf>
    <xf numFmtId="0" fontId="10" fillId="0" borderId="26" xfId="0" applyFont="1" applyFill="1" applyBorder="1" applyAlignment="1" applyProtection="1">
      <alignment vertical="center"/>
      <protection/>
    </xf>
    <xf numFmtId="0" fontId="10" fillId="0" borderId="11" xfId="0" applyFont="1" applyFill="1" applyBorder="1" applyAlignment="1" applyProtection="1">
      <alignment vertical="center"/>
      <protection/>
    </xf>
    <xf numFmtId="178" fontId="10" fillId="0" borderId="10" xfId="0" applyNumberFormat="1" applyFont="1" applyFill="1" applyBorder="1" applyAlignment="1" applyProtection="1">
      <alignment horizontal="left" vertical="center"/>
      <protection/>
    </xf>
    <xf numFmtId="0" fontId="6" fillId="3" borderId="54" xfId="0" applyFont="1" applyFill="1" applyBorder="1" applyAlignment="1" applyProtection="1">
      <alignment horizontal="center" vertical="center"/>
      <protection/>
    </xf>
    <xf numFmtId="0" fontId="6" fillId="3" borderId="60" xfId="0" applyFont="1" applyFill="1" applyBorder="1" applyAlignment="1" applyProtection="1">
      <alignment horizontal="center" vertical="center"/>
      <protection/>
    </xf>
    <xf numFmtId="0" fontId="6" fillId="3" borderId="55" xfId="0" applyFont="1" applyFill="1" applyBorder="1" applyAlignment="1" applyProtection="1">
      <alignment horizontal="center" vertical="center"/>
      <protection/>
    </xf>
    <xf numFmtId="0" fontId="6" fillId="8" borderId="54" xfId="0" applyFont="1" applyFill="1" applyBorder="1" applyAlignment="1" applyProtection="1">
      <alignment horizontal="left"/>
      <protection/>
    </xf>
    <xf numFmtId="0" fontId="6" fillId="8" borderId="60" xfId="0" applyFont="1" applyFill="1" applyBorder="1" applyAlignment="1" applyProtection="1">
      <alignment horizontal="left"/>
      <protection/>
    </xf>
    <xf numFmtId="0" fontId="6" fillId="8" borderId="55" xfId="0" applyFont="1" applyFill="1" applyBorder="1" applyAlignment="1" applyProtection="1">
      <alignment horizontal="left"/>
      <protection/>
    </xf>
    <xf numFmtId="0" fontId="6" fillId="8" borderId="54" xfId="0" applyFont="1" applyFill="1" applyBorder="1" applyAlignment="1" applyProtection="1">
      <alignment horizontal="left"/>
      <protection/>
    </xf>
    <xf numFmtId="0" fontId="6" fillId="8" borderId="60" xfId="0" applyFont="1" applyFill="1" applyBorder="1" applyAlignment="1" applyProtection="1">
      <alignment horizontal="left"/>
      <protection/>
    </xf>
    <xf numFmtId="0" fontId="6" fillId="8" borderId="55" xfId="0" applyFont="1" applyFill="1" applyBorder="1" applyAlignment="1" applyProtection="1">
      <alignment horizontal="left"/>
      <protection/>
    </xf>
    <xf numFmtId="0" fontId="6" fillId="3" borderId="49" xfId="0" applyFont="1" applyFill="1" applyBorder="1" applyAlignment="1" applyProtection="1">
      <alignment horizontal="right"/>
      <protection/>
    </xf>
    <xf numFmtId="0" fontId="6" fillId="3" borderId="50" xfId="0" applyFont="1" applyFill="1" applyBorder="1" applyAlignment="1" applyProtection="1">
      <alignment horizontal="right"/>
      <protection/>
    </xf>
    <xf numFmtId="0" fontId="6" fillId="8" borderId="54" xfId="0" applyFont="1" applyFill="1" applyBorder="1" applyAlignment="1" applyProtection="1">
      <alignment/>
      <protection/>
    </xf>
    <xf numFmtId="0" fontId="6" fillId="8" borderId="55" xfId="0" applyFont="1" applyFill="1" applyBorder="1" applyAlignment="1" applyProtection="1">
      <alignment/>
      <protection/>
    </xf>
    <xf numFmtId="0" fontId="13" fillId="3" borderId="0" xfId="0" applyFont="1" applyFill="1" applyBorder="1" applyAlignment="1" applyProtection="1">
      <alignment vertical="center"/>
      <protection/>
    </xf>
    <xf numFmtId="0" fontId="25" fillId="8" borderId="26" xfId="0" applyFont="1" applyFill="1" applyBorder="1" applyAlignment="1">
      <alignment/>
    </xf>
    <xf numFmtId="0" fontId="25" fillId="8" borderId="11" xfId="0" applyFont="1" applyFill="1" applyBorder="1" applyAlignment="1">
      <alignment/>
    </xf>
    <xf numFmtId="0" fontId="25" fillId="8" borderId="61" xfId="0" applyFont="1" applyFill="1" applyBorder="1" applyAlignment="1">
      <alignment/>
    </xf>
    <xf numFmtId="0" fontId="25" fillId="8" borderId="29" xfId="0" applyFont="1" applyFill="1" applyBorder="1" applyAlignment="1">
      <alignment/>
    </xf>
    <xf numFmtId="0" fontId="25" fillId="8" borderId="57" xfId="0" applyFont="1" applyFill="1" applyBorder="1" applyAlignment="1">
      <alignment/>
    </xf>
    <xf numFmtId="0" fontId="14" fillId="3" borderId="0" xfId="0" applyFont="1" applyFill="1" applyAlignment="1">
      <alignment/>
    </xf>
    <xf numFmtId="0" fontId="13" fillId="3" borderId="0" xfId="0" applyFont="1" applyFill="1" applyAlignment="1">
      <alignment/>
    </xf>
    <xf numFmtId="0" fontId="38" fillId="3" borderId="0" xfId="0" applyFont="1" applyFill="1" applyAlignment="1">
      <alignment/>
    </xf>
    <xf numFmtId="0" fontId="7" fillId="3" borderId="0" xfId="0" applyFont="1" applyFill="1" applyBorder="1" applyAlignment="1">
      <alignment wrapText="1"/>
    </xf>
    <xf numFmtId="0" fontId="6" fillId="3" borderId="60" xfId="0" applyFont="1" applyFill="1" applyBorder="1" applyAlignment="1">
      <alignment horizontal="center"/>
    </xf>
    <xf numFmtId="0" fontId="6" fillId="3" borderId="55" xfId="0" applyFont="1" applyFill="1" applyBorder="1" applyAlignment="1">
      <alignment horizontal="center"/>
    </xf>
    <xf numFmtId="0" fontId="6" fillId="7" borderId="0" xfId="0" applyFont="1" applyFill="1" applyBorder="1" applyAlignment="1">
      <alignment horizontal="center"/>
    </xf>
    <xf numFmtId="0" fontId="6" fillId="7" borderId="48" xfId="0" applyFont="1" applyFill="1" applyBorder="1" applyAlignment="1">
      <alignment horizontal="center"/>
    </xf>
    <xf numFmtId="0" fontId="30" fillId="3" borderId="0" xfId="0" applyFont="1" applyFill="1" applyAlignment="1">
      <alignment vertical="top" wrapText="1"/>
    </xf>
    <xf numFmtId="0" fontId="7" fillId="3" borderId="0" xfId="0" applyFont="1" applyFill="1" applyBorder="1" applyAlignment="1">
      <alignment vertical="top" wrapText="1"/>
    </xf>
    <xf numFmtId="0" fontId="0" fillId="3" borderId="54" xfId="0" applyFill="1" applyBorder="1" applyAlignment="1">
      <alignment/>
    </xf>
    <xf numFmtId="0" fontId="0" fillId="3" borderId="60" xfId="0" applyFill="1" applyBorder="1" applyAlignment="1">
      <alignment/>
    </xf>
    <xf numFmtId="0" fontId="6" fillId="3" borderId="9" xfId="0" applyFont="1" applyFill="1" applyBorder="1" applyAlignment="1">
      <alignment/>
    </xf>
    <xf numFmtId="0" fontId="5" fillId="3" borderId="29" xfId="0" applyFont="1" applyFill="1" applyBorder="1" applyAlignment="1">
      <alignment/>
    </xf>
    <xf numFmtId="9" fontId="6" fillId="2" borderId="28" xfId="0" applyNumberFormat="1" applyFont="1" applyFill="1" applyBorder="1" applyAlignment="1" quotePrefix="1">
      <alignment horizontal="center" vertical="center"/>
    </xf>
    <xf numFmtId="0" fontId="6" fillId="2" borderId="37" xfId="0" applyFont="1" applyFill="1" applyBorder="1" applyAlignment="1" quotePrefix="1">
      <alignment horizontal="center" vertical="center"/>
    </xf>
    <xf numFmtId="0" fontId="6" fillId="2" borderId="28" xfId="0" applyFont="1" applyFill="1" applyBorder="1" applyAlignment="1" quotePrefix="1">
      <alignment horizontal="center" vertical="center"/>
    </xf>
    <xf numFmtId="0" fontId="6" fillId="2" borderId="64" xfId="0" applyFont="1" applyFill="1" applyBorder="1" applyAlignment="1" quotePrefix="1">
      <alignment horizontal="center" vertical="center"/>
    </xf>
    <xf numFmtId="0" fontId="6" fillId="2" borderId="38" xfId="0" applyFont="1" applyFill="1" applyBorder="1" applyAlignment="1" quotePrefix="1">
      <alignment horizontal="center" vertical="center"/>
    </xf>
    <xf numFmtId="0" fontId="6" fillId="3" borderId="0" xfId="0" applyFont="1" applyFill="1" applyBorder="1" applyAlignment="1">
      <alignment horizontal="center" vertical="center"/>
    </xf>
    <xf numFmtId="0" fontId="6" fillId="6" borderId="65" xfId="0" applyFont="1" applyFill="1" applyBorder="1" applyAlignment="1">
      <alignment horizontal="left" vertical="center"/>
    </xf>
    <xf numFmtId="0" fontId="6" fillId="6" borderId="3" xfId="0" applyFont="1" applyFill="1" applyBorder="1" applyAlignment="1">
      <alignment horizontal="left" vertical="center"/>
    </xf>
    <xf numFmtId="9" fontId="6" fillId="2" borderId="64" xfId="0" applyNumberFormat="1" applyFont="1" applyFill="1" applyBorder="1" applyAlignment="1" quotePrefix="1">
      <alignment horizontal="center" vertical="center"/>
    </xf>
    <xf numFmtId="0" fontId="6" fillId="2" borderId="64" xfId="0" applyFont="1" applyFill="1" applyBorder="1" applyAlignment="1">
      <alignment horizontal="center" vertical="center"/>
    </xf>
    <xf numFmtId="0" fontId="6" fillId="2" borderId="38" xfId="0" applyFont="1" applyFill="1" applyBorder="1" applyAlignment="1">
      <alignment horizontal="center" vertical="center"/>
    </xf>
    <xf numFmtId="0" fontId="9" fillId="7" borderId="5" xfId="0" applyFont="1" applyFill="1" applyBorder="1" applyAlignment="1">
      <alignment/>
    </xf>
    <xf numFmtId="0" fontId="9" fillId="7" borderId="11" xfId="0" applyFont="1" applyFill="1" applyBorder="1" applyAlignment="1">
      <alignment/>
    </xf>
    <xf numFmtId="0" fontId="9" fillId="7" borderId="49" xfId="0" applyFont="1" applyFill="1" applyBorder="1" applyAlignment="1">
      <alignment/>
    </xf>
    <xf numFmtId="0" fontId="9" fillId="7" borderId="66" xfId="0" applyFont="1" applyFill="1" applyBorder="1" applyAlignment="1">
      <alignment/>
    </xf>
    <xf numFmtId="0" fontId="6" fillId="7" borderId="43" xfId="0" applyFont="1" applyFill="1" applyBorder="1" applyAlignment="1">
      <alignment horizontal="right"/>
    </xf>
    <xf numFmtId="0" fontId="6" fillId="7" borderId="67" xfId="0" applyFont="1" applyFill="1" applyBorder="1" applyAlignment="1">
      <alignment horizontal="right"/>
    </xf>
    <xf numFmtId="0" fontId="6" fillId="7" borderId="49" xfId="0" applyFont="1" applyFill="1" applyBorder="1" applyAlignment="1">
      <alignment horizontal="right"/>
    </xf>
    <xf numFmtId="0" fontId="6" fillId="7" borderId="66" xfId="0" applyFont="1" applyFill="1" applyBorder="1" applyAlignment="1">
      <alignment horizontal="right"/>
    </xf>
    <xf numFmtId="0" fontId="6" fillId="8" borderId="54" xfId="0" applyFont="1" applyFill="1" applyBorder="1" applyAlignment="1">
      <alignment horizontal="left"/>
    </xf>
    <xf numFmtId="0" fontId="6" fillId="8" borderId="68" xfId="0" applyFont="1" applyFill="1" applyBorder="1" applyAlignment="1">
      <alignment horizontal="left"/>
    </xf>
    <xf numFmtId="0" fontId="9" fillId="7" borderId="43" xfId="0" applyFont="1" applyFill="1" applyBorder="1" applyAlignment="1">
      <alignment/>
    </xf>
    <xf numFmtId="0" fontId="9" fillId="7" borderId="67" xfId="0" applyFont="1" applyFill="1" applyBorder="1" applyAlignment="1">
      <alignment/>
    </xf>
    <xf numFmtId="0" fontId="6" fillId="2" borderId="69" xfId="0" applyFont="1" applyFill="1" applyBorder="1" applyAlignment="1">
      <alignment horizontal="center"/>
    </xf>
    <xf numFmtId="0" fontId="6" fillId="2" borderId="4" xfId="0" applyFont="1" applyFill="1" applyBorder="1" applyAlignment="1">
      <alignment horizontal="center"/>
    </xf>
    <xf numFmtId="0" fontId="6" fillId="2" borderId="34" xfId="0" applyFont="1" applyFill="1" applyBorder="1" applyAlignment="1">
      <alignment horizontal="center"/>
    </xf>
    <xf numFmtId="182" fontId="6" fillId="2" borderId="69" xfId="0" applyNumberFormat="1" applyFont="1" applyFill="1" applyBorder="1" applyAlignment="1">
      <alignment horizontal="left"/>
    </xf>
    <xf numFmtId="182" fontId="6" fillId="2" borderId="4" xfId="0" applyNumberFormat="1" applyFont="1" applyFill="1" applyBorder="1" applyAlignment="1">
      <alignment horizontal="left"/>
    </xf>
    <xf numFmtId="182" fontId="6" fillId="2" borderId="34" xfId="0" applyNumberFormat="1" applyFont="1" applyFill="1" applyBorder="1" applyAlignment="1">
      <alignment horizontal="left"/>
    </xf>
  </cellXfs>
  <cellStyles count="7">
    <cellStyle name="Normal" xfId="0"/>
    <cellStyle name="Hyperlink" xfId="15"/>
    <cellStyle name="Followed Hyperlink" xfId="16"/>
    <cellStyle name="Comma" xfId="17"/>
    <cellStyle name="Comma [0]" xfId="18"/>
    <cellStyle name="Currency" xfId="19"/>
    <cellStyle name="Currency [0]" xfId="20"/>
  </cellStyles>
  <dxfs count="10">
    <dxf>
      <font>
        <b/>
        <i val="0"/>
        <color rgb="FFFF0000"/>
      </font>
      <fill>
        <patternFill patternType="solid">
          <fgColor rgb="FFFF0000"/>
        </patternFill>
      </fill>
      <border/>
    </dxf>
    <dxf>
      <font>
        <b/>
        <i val="0"/>
        <color rgb="FFFFFFFF"/>
      </font>
      <fill>
        <patternFill>
          <bgColor rgb="FFFF0000"/>
        </patternFill>
      </fill>
      <border/>
    </dxf>
    <dxf>
      <font>
        <b/>
        <i val="0"/>
      </font>
      <fill>
        <patternFill patternType="lightGray">
          <fgColor rgb="FFFF8080"/>
        </patternFill>
      </fill>
      <border/>
    </dxf>
    <dxf>
      <font>
        <b/>
        <i val="0"/>
      </font>
      <fill>
        <patternFill patternType="solid">
          <fgColor rgb="FFFFFF00"/>
          <bgColor rgb="FFFFFF00"/>
        </patternFill>
      </fill>
      <border/>
    </dxf>
    <dxf>
      <font>
        <b/>
        <i val="0"/>
      </font>
      <fill>
        <patternFill>
          <bgColor rgb="FFFFFF00"/>
        </patternFill>
      </fill>
      <border/>
    </dxf>
    <dxf>
      <font>
        <b/>
        <i val="0"/>
      </font>
      <fill>
        <patternFill>
          <bgColor rgb="FFFFFFC0"/>
        </patternFill>
      </fill>
      <border/>
    </dxf>
    <dxf>
      <font>
        <b/>
        <i val="0"/>
      </font>
      <fill>
        <patternFill patternType="solid">
          <fgColor rgb="FFFF0000"/>
          <bgColor rgb="FFFFFF00"/>
        </patternFill>
      </fill>
      <border/>
    </dxf>
    <dxf>
      <font>
        <b/>
        <i val="0"/>
      </font>
      <fill>
        <patternFill>
          <bgColor rgb="FF00FF00"/>
        </patternFill>
      </fill>
      <border/>
    </dxf>
    <dxf>
      <font>
        <b/>
        <i val="0"/>
      </font>
      <fill>
        <patternFill>
          <bgColor rgb="FF339933"/>
        </patternFill>
      </fill>
      <border/>
    </dxf>
    <dxf>
      <font>
        <b/>
        <i val="0"/>
      </font>
      <fill>
        <patternFill patternType="lightUp">
          <fgColor rgb="FFFFFFFF"/>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Intro!C2" /><Relationship Id="rId3" Type="http://schemas.openxmlformats.org/officeDocument/2006/relationships/hyperlink" Target="#Intro!C2"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Intro!C2" /><Relationship Id="rId3" Type="http://schemas.openxmlformats.org/officeDocument/2006/relationships/hyperlink" Target="#Intro!C2"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Intro!C2" /><Relationship Id="rId3" Type="http://schemas.openxmlformats.org/officeDocument/2006/relationships/hyperlink" Target="#Intro!C2"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Intro!C2" /><Relationship Id="rId3" Type="http://schemas.openxmlformats.org/officeDocument/2006/relationships/hyperlink" Target="#Intro!C2"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Intro!C2" /><Relationship Id="rId3" Type="http://schemas.openxmlformats.org/officeDocument/2006/relationships/hyperlink" Target="#Intro!C2"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Intro!C2" /><Relationship Id="rId3" Type="http://schemas.openxmlformats.org/officeDocument/2006/relationships/hyperlink" Target="#Intro!C2"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Intro!C2" /><Relationship Id="rId3" Type="http://schemas.openxmlformats.org/officeDocument/2006/relationships/hyperlink" Target="#Intro!C2"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Intro!C2" /><Relationship Id="rId3" Type="http://schemas.openxmlformats.org/officeDocument/2006/relationships/hyperlink" Target="#Intro!C2" /><Relationship Id="rId4" Type="http://schemas.openxmlformats.org/officeDocument/2006/relationships/hyperlink" Target="#Intro!C2" /><Relationship Id="rId5" Type="http://schemas.openxmlformats.org/officeDocument/2006/relationships/hyperlink" Target="#Intro!C2"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Intro!C2" /><Relationship Id="rId3" Type="http://schemas.openxmlformats.org/officeDocument/2006/relationships/hyperlink" Target="#Intro!C2"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1314450</xdr:colOff>
      <xdr:row>0</xdr:row>
      <xdr:rowOff>19050</xdr:rowOff>
    </xdr:from>
    <xdr:to>
      <xdr:col>7</xdr:col>
      <xdr:colOff>552450</xdr:colOff>
      <xdr:row>1</xdr:row>
      <xdr:rowOff>9525</xdr:rowOff>
    </xdr:to>
    <xdr:pic>
      <xdr:nvPicPr>
        <xdr:cNvPr id="1" name="Picture 1"/>
        <xdr:cNvPicPr preferRelativeResize="1">
          <a:picLocks noChangeAspect="1"/>
        </xdr:cNvPicPr>
      </xdr:nvPicPr>
      <xdr:blipFill>
        <a:blip r:embed="rId1"/>
        <a:stretch>
          <a:fillRect/>
        </a:stretch>
      </xdr:blipFill>
      <xdr:spPr>
        <a:xfrm>
          <a:off x="1314450" y="19050"/>
          <a:ext cx="4610100" cy="714375"/>
        </a:xfrm>
        <a:prstGeom prst="rect">
          <a:avLst/>
        </a:prstGeom>
        <a:noFill/>
        <a:ln w="9525" cmpd="sng">
          <a:noFill/>
        </a:ln>
      </xdr:spPr>
    </xdr:pic>
    <xdr:clientData/>
  </xdr:twoCellAnchor>
  <xdr:twoCellAnchor editAs="oneCell">
    <xdr:from>
      <xdr:col>0</xdr:col>
      <xdr:colOff>0</xdr:colOff>
      <xdr:row>0</xdr:row>
      <xdr:rowOff>38100</xdr:rowOff>
    </xdr:from>
    <xdr:to>
      <xdr:col>0</xdr:col>
      <xdr:colOff>1228725</xdr:colOff>
      <xdr:row>0</xdr:row>
      <xdr:rowOff>657225</xdr:rowOff>
    </xdr:to>
    <xdr:pic>
      <xdr:nvPicPr>
        <xdr:cNvPr id="2" name="Picture 2"/>
        <xdr:cNvPicPr preferRelativeResize="1">
          <a:picLocks noChangeAspect="1"/>
        </xdr:cNvPicPr>
      </xdr:nvPicPr>
      <xdr:blipFill>
        <a:blip r:embed="rId2"/>
        <a:stretch>
          <a:fillRect/>
        </a:stretch>
      </xdr:blipFill>
      <xdr:spPr>
        <a:xfrm>
          <a:off x="0" y="38100"/>
          <a:ext cx="1228725" cy="619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1809750</xdr:colOff>
      <xdr:row>0</xdr:row>
      <xdr:rowOff>76200</xdr:rowOff>
    </xdr:from>
    <xdr:to>
      <xdr:col>7</xdr:col>
      <xdr:colOff>2000250</xdr:colOff>
      <xdr:row>1</xdr:row>
      <xdr:rowOff>76200</xdr:rowOff>
    </xdr:to>
    <xdr:pic>
      <xdr:nvPicPr>
        <xdr:cNvPr id="1" name="Picture 1">
          <a:hlinkClick r:id="rId3"/>
        </xdr:cNvPr>
        <xdr:cNvPicPr preferRelativeResize="1">
          <a:picLocks noChangeAspect="1"/>
        </xdr:cNvPicPr>
      </xdr:nvPicPr>
      <xdr:blipFill>
        <a:blip r:embed="rId1"/>
        <a:stretch>
          <a:fillRect/>
        </a:stretch>
      </xdr:blipFill>
      <xdr:spPr>
        <a:xfrm>
          <a:off x="9201150" y="76200"/>
          <a:ext cx="190500" cy="1905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57150</xdr:rowOff>
    </xdr:from>
    <xdr:to>
      <xdr:col>10</xdr:col>
      <xdr:colOff>19050</xdr:colOff>
      <xdr:row>28</xdr:row>
      <xdr:rowOff>66675</xdr:rowOff>
    </xdr:to>
    <xdr:sp>
      <xdr:nvSpPr>
        <xdr:cNvPr id="1" name="Line 10"/>
        <xdr:cNvSpPr>
          <a:spLocks/>
        </xdr:cNvSpPr>
      </xdr:nvSpPr>
      <xdr:spPr>
        <a:xfrm>
          <a:off x="19050" y="4419600"/>
          <a:ext cx="8915400"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0</xdr:col>
      <xdr:colOff>19050</xdr:colOff>
      <xdr:row>42</xdr:row>
      <xdr:rowOff>0</xdr:rowOff>
    </xdr:from>
    <xdr:to>
      <xdr:col>10</xdr:col>
      <xdr:colOff>85725</xdr:colOff>
      <xdr:row>42</xdr:row>
      <xdr:rowOff>0</xdr:rowOff>
    </xdr:to>
    <xdr:sp>
      <xdr:nvSpPr>
        <xdr:cNvPr id="2" name="Line 12"/>
        <xdr:cNvSpPr>
          <a:spLocks/>
        </xdr:cNvSpPr>
      </xdr:nvSpPr>
      <xdr:spPr>
        <a:xfrm>
          <a:off x="19050" y="6534150"/>
          <a:ext cx="8982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0</xdr:col>
      <xdr:colOff>28575</xdr:colOff>
      <xdr:row>48</xdr:row>
      <xdr:rowOff>0</xdr:rowOff>
    </xdr:from>
    <xdr:to>
      <xdr:col>10</xdr:col>
      <xdr:colOff>95250</xdr:colOff>
      <xdr:row>48</xdr:row>
      <xdr:rowOff>0</xdr:rowOff>
    </xdr:to>
    <xdr:sp>
      <xdr:nvSpPr>
        <xdr:cNvPr id="3" name="Line 25"/>
        <xdr:cNvSpPr>
          <a:spLocks/>
        </xdr:cNvSpPr>
      </xdr:nvSpPr>
      <xdr:spPr>
        <a:xfrm>
          <a:off x="28575" y="7505700"/>
          <a:ext cx="8982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editAs="oneCell">
    <xdr:from>
      <xdr:col>9</xdr:col>
      <xdr:colOff>428625</xdr:colOff>
      <xdr:row>0</xdr:row>
      <xdr:rowOff>28575</xdr:rowOff>
    </xdr:from>
    <xdr:to>
      <xdr:col>9</xdr:col>
      <xdr:colOff>619125</xdr:colOff>
      <xdr:row>1</xdr:row>
      <xdr:rowOff>19050</xdr:rowOff>
    </xdr:to>
    <xdr:pic>
      <xdr:nvPicPr>
        <xdr:cNvPr id="4" name="Picture 28">
          <a:hlinkClick r:id="rId3"/>
        </xdr:cNvPr>
        <xdr:cNvPicPr preferRelativeResize="1">
          <a:picLocks noChangeAspect="1"/>
        </xdr:cNvPicPr>
      </xdr:nvPicPr>
      <xdr:blipFill>
        <a:blip r:embed="rId1"/>
        <a:stretch>
          <a:fillRect/>
        </a:stretch>
      </xdr:blipFill>
      <xdr:spPr>
        <a:xfrm>
          <a:off x="8686800" y="28575"/>
          <a:ext cx="190500" cy="1905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72</xdr:row>
      <xdr:rowOff>0</xdr:rowOff>
    </xdr:from>
    <xdr:to>
      <xdr:col>5</xdr:col>
      <xdr:colOff>638175</xdr:colOff>
      <xdr:row>72</xdr:row>
      <xdr:rowOff>0</xdr:rowOff>
    </xdr:to>
    <xdr:sp>
      <xdr:nvSpPr>
        <xdr:cNvPr id="1" name="Line 5"/>
        <xdr:cNvSpPr>
          <a:spLocks/>
        </xdr:cNvSpPr>
      </xdr:nvSpPr>
      <xdr:spPr>
        <a:xfrm flipV="1">
          <a:off x="19050" y="11734800"/>
          <a:ext cx="5924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editAs="oneCell">
    <xdr:from>
      <xdr:col>5</xdr:col>
      <xdr:colOff>47625</xdr:colOff>
      <xdr:row>0</xdr:row>
      <xdr:rowOff>85725</xdr:rowOff>
    </xdr:from>
    <xdr:to>
      <xdr:col>5</xdr:col>
      <xdr:colOff>238125</xdr:colOff>
      <xdr:row>1</xdr:row>
      <xdr:rowOff>47625</xdr:rowOff>
    </xdr:to>
    <xdr:pic>
      <xdr:nvPicPr>
        <xdr:cNvPr id="2" name="Picture 8">
          <a:hlinkClick r:id="rId3"/>
        </xdr:cNvPr>
        <xdr:cNvPicPr preferRelativeResize="1">
          <a:picLocks noChangeAspect="1"/>
        </xdr:cNvPicPr>
      </xdr:nvPicPr>
      <xdr:blipFill>
        <a:blip r:embed="rId1"/>
        <a:stretch>
          <a:fillRect/>
        </a:stretch>
      </xdr:blipFill>
      <xdr:spPr>
        <a:xfrm>
          <a:off x="5353050" y="85725"/>
          <a:ext cx="190500" cy="1905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32</xdr:row>
      <xdr:rowOff>0</xdr:rowOff>
    </xdr:from>
    <xdr:to>
      <xdr:col>6</xdr:col>
      <xdr:colOff>0</xdr:colOff>
      <xdr:row>32</xdr:row>
      <xdr:rowOff>0</xdr:rowOff>
    </xdr:to>
    <xdr:sp>
      <xdr:nvSpPr>
        <xdr:cNvPr id="1" name="Line 4"/>
        <xdr:cNvSpPr>
          <a:spLocks/>
        </xdr:cNvSpPr>
      </xdr:nvSpPr>
      <xdr:spPr>
        <a:xfrm flipV="1">
          <a:off x="190500" y="5448300"/>
          <a:ext cx="6429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editAs="oneCell">
    <xdr:from>
      <xdr:col>5</xdr:col>
      <xdr:colOff>1057275</xdr:colOff>
      <xdr:row>0</xdr:row>
      <xdr:rowOff>57150</xdr:rowOff>
    </xdr:from>
    <xdr:to>
      <xdr:col>5</xdr:col>
      <xdr:colOff>1247775</xdr:colOff>
      <xdr:row>1</xdr:row>
      <xdr:rowOff>57150</xdr:rowOff>
    </xdr:to>
    <xdr:pic>
      <xdr:nvPicPr>
        <xdr:cNvPr id="2" name="Picture 8">
          <a:hlinkClick r:id="rId3"/>
        </xdr:cNvPr>
        <xdr:cNvPicPr preferRelativeResize="1">
          <a:picLocks noChangeAspect="1"/>
        </xdr:cNvPicPr>
      </xdr:nvPicPr>
      <xdr:blipFill>
        <a:blip r:embed="rId1"/>
        <a:stretch>
          <a:fillRect/>
        </a:stretch>
      </xdr:blipFill>
      <xdr:spPr>
        <a:xfrm>
          <a:off x="6362700" y="57150"/>
          <a:ext cx="190500" cy="1905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38100</xdr:rowOff>
    </xdr:from>
    <xdr:to>
      <xdr:col>2</xdr:col>
      <xdr:colOff>628650</xdr:colOff>
      <xdr:row>1</xdr:row>
      <xdr:rowOff>38100</xdr:rowOff>
    </xdr:to>
    <xdr:pic>
      <xdr:nvPicPr>
        <xdr:cNvPr id="1" name="Picture 5">
          <a:hlinkClick r:id="rId3"/>
        </xdr:cNvPr>
        <xdr:cNvPicPr preferRelativeResize="1">
          <a:picLocks noChangeAspect="1"/>
        </xdr:cNvPicPr>
      </xdr:nvPicPr>
      <xdr:blipFill>
        <a:blip r:embed="rId1"/>
        <a:stretch>
          <a:fillRect/>
        </a:stretch>
      </xdr:blipFill>
      <xdr:spPr>
        <a:xfrm>
          <a:off x="5743575" y="38100"/>
          <a:ext cx="190500" cy="1905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38100</xdr:rowOff>
    </xdr:from>
    <xdr:to>
      <xdr:col>2</xdr:col>
      <xdr:colOff>628650</xdr:colOff>
      <xdr:row>1</xdr:row>
      <xdr:rowOff>38100</xdr:rowOff>
    </xdr:to>
    <xdr:pic>
      <xdr:nvPicPr>
        <xdr:cNvPr id="1" name="Picture 4">
          <a:hlinkClick r:id="rId3"/>
        </xdr:cNvPr>
        <xdr:cNvPicPr preferRelativeResize="1">
          <a:picLocks noChangeAspect="1"/>
        </xdr:cNvPicPr>
      </xdr:nvPicPr>
      <xdr:blipFill>
        <a:blip r:embed="rId1"/>
        <a:stretch>
          <a:fillRect/>
        </a:stretch>
      </xdr:blipFill>
      <xdr:spPr>
        <a:xfrm>
          <a:off x="5743575" y="38100"/>
          <a:ext cx="190500" cy="19050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742950</xdr:colOff>
      <xdr:row>0</xdr:row>
      <xdr:rowOff>57150</xdr:rowOff>
    </xdr:from>
    <xdr:to>
      <xdr:col>4</xdr:col>
      <xdr:colOff>933450</xdr:colOff>
      <xdr:row>1</xdr:row>
      <xdr:rowOff>57150</xdr:rowOff>
    </xdr:to>
    <xdr:pic>
      <xdr:nvPicPr>
        <xdr:cNvPr id="1" name="Picture 2">
          <a:hlinkClick r:id="rId3"/>
        </xdr:cNvPr>
        <xdr:cNvPicPr preferRelativeResize="1">
          <a:picLocks noChangeAspect="1"/>
        </xdr:cNvPicPr>
      </xdr:nvPicPr>
      <xdr:blipFill>
        <a:blip r:embed="rId1"/>
        <a:stretch>
          <a:fillRect/>
        </a:stretch>
      </xdr:blipFill>
      <xdr:spPr>
        <a:xfrm>
          <a:off x="7096125" y="57150"/>
          <a:ext cx="190500" cy="19050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333375</xdr:colOff>
      <xdr:row>0</xdr:row>
      <xdr:rowOff>66675</xdr:rowOff>
    </xdr:from>
    <xdr:to>
      <xdr:col>4</xdr:col>
      <xdr:colOff>523875</xdr:colOff>
      <xdr:row>1</xdr:row>
      <xdr:rowOff>66675</xdr:rowOff>
    </xdr:to>
    <xdr:pic>
      <xdr:nvPicPr>
        <xdr:cNvPr id="1" name="Picture 5">
          <a:hlinkClick r:id="rId3"/>
        </xdr:cNvPr>
        <xdr:cNvPicPr preferRelativeResize="1">
          <a:picLocks noChangeAspect="1"/>
        </xdr:cNvPicPr>
      </xdr:nvPicPr>
      <xdr:blipFill>
        <a:blip r:embed="rId1"/>
        <a:stretch>
          <a:fillRect/>
        </a:stretch>
      </xdr:blipFill>
      <xdr:spPr>
        <a:xfrm>
          <a:off x="5534025" y="66675"/>
          <a:ext cx="190500" cy="190500"/>
        </a:xfrm>
        <a:prstGeom prst="rect">
          <a:avLst/>
        </a:prstGeom>
        <a:noFill/>
        <a:ln w="9525" cmpd="sng">
          <a:noFill/>
        </a:ln>
      </xdr:spPr>
    </xdr:pic>
    <xdr:clientData fPrintsWithSheet="0"/>
  </xdr:twoCellAnchor>
  <xdr:twoCellAnchor editAs="oneCell">
    <xdr:from>
      <xdr:col>4</xdr:col>
      <xdr:colOff>542925</xdr:colOff>
      <xdr:row>31</xdr:row>
      <xdr:rowOff>152400</xdr:rowOff>
    </xdr:from>
    <xdr:to>
      <xdr:col>4</xdr:col>
      <xdr:colOff>733425</xdr:colOff>
      <xdr:row>32</xdr:row>
      <xdr:rowOff>152400</xdr:rowOff>
    </xdr:to>
    <xdr:pic>
      <xdr:nvPicPr>
        <xdr:cNvPr id="2" name="Picture 6">
          <a:hlinkClick r:id="rId5"/>
        </xdr:cNvPr>
        <xdr:cNvPicPr preferRelativeResize="1">
          <a:picLocks noChangeAspect="1"/>
        </xdr:cNvPicPr>
      </xdr:nvPicPr>
      <xdr:blipFill>
        <a:blip r:embed="rId1"/>
        <a:stretch>
          <a:fillRect/>
        </a:stretch>
      </xdr:blipFill>
      <xdr:spPr>
        <a:xfrm>
          <a:off x="5743575" y="6057900"/>
          <a:ext cx="190500" cy="19050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142875</xdr:colOff>
      <xdr:row>0</xdr:row>
      <xdr:rowOff>66675</xdr:rowOff>
    </xdr:from>
    <xdr:to>
      <xdr:col>2</xdr:col>
      <xdr:colOff>333375</xdr:colOff>
      <xdr:row>1</xdr:row>
      <xdr:rowOff>66675</xdr:rowOff>
    </xdr:to>
    <xdr:pic>
      <xdr:nvPicPr>
        <xdr:cNvPr id="1" name="Picture 14">
          <a:hlinkClick r:id="rId3"/>
        </xdr:cNvPr>
        <xdr:cNvPicPr preferRelativeResize="1">
          <a:picLocks noChangeAspect="1"/>
        </xdr:cNvPicPr>
      </xdr:nvPicPr>
      <xdr:blipFill>
        <a:blip r:embed="rId1"/>
        <a:stretch>
          <a:fillRect/>
        </a:stretch>
      </xdr:blipFill>
      <xdr:spPr>
        <a:xfrm>
          <a:off x="6172200" y="66675"/>
          <a:ext cx="190500" cy="1905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hn.bayliss@whht.nhs.uk"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cc.org/clinical/statements.htm" TargetMode="Externa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timi.tv/" TargetMode="Externa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timi.tv/" TargetMode="Externa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euroscore.org/" TargetMode="Externa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doh.gov.uk/extendingchoice/index.htm" TargetMode="Externa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dimension ref="A2:I32"/>
  <sheetViews>
    <sheetView showGridLines="0" workbookViewId="0" topLeftCell="A1">
      <selection activeCell="A1" sqref="A1:A16384"/>
    </sheetView>
  </sheetViews>
  <sheetFormatPr defaultColWidth="9.00390625" defaultRowHeight="13.5"/>
  <cols>
    <col min="1" max="1" width="17.25390625" style="136" customWidth="1"/>
    <col min="2" max="2" width="12.875" style="136" customWidth="1"/>
    <col min="3" max="5" width="9.00390625" style="136" customWidth="1"/>
    <col min="6" max="6" width="4.375" style="136" customWidth="1"/>
    <col min="7" max="16384" width="9.00390625" style="136" customWidth="1"/>
  </cols>
  <sheetData>
    <row r="1" ht="57" customHeight="1"/>
    <row r="2" spans="3:6" ht="20.25" customHeight="1">
      <c r="C2" s="443" t="s">
        <v>136</v>
      </c>
      <c r="D2" s="443"/>
      <c r="E2" s="443"/>
      <c r="F2" s="443"/>
    </row>
    <row r="3" ht="12.75" customHeight="1"/>
    <row r="4" spans="1:2" ht="12.75" customHeight="1">
      <c r="A4" s="442" t="s">
        <v>137</v>
      </c>
      <c r="B4" s="442"/>
    </row>
    <row r="5" spans="1:2" ht="12.75">
      <c r="A5" s="431"/>
      <c r="B5" s="431"/>
    </row>
    <row r="6" spans="1:2" ht="12.75" customHeight="1">
      <c r="A6" s="442" t="s">
        <v>238</v>
      </c>
      <c r="B6" s="442"/>
    </row>
    <row r="7" spans="1:2" ht="12.75">
      <c r="A7" s="431" t="s">
        <v>240</v>
      </c>
      <c r="B7" s="431"/>
    </row>
    <row r="8" spans="1:2" ht="12.75" customHeight="1">
      <c r="A8" s="442" t="s">
        <v>239</v>
      </c>
      <c r="B8" s="442"/>
    </row>
    <row r="9" spans="1:2" ht="12.75" customHeight="1">
      <c r="A9" s="431" t="s">
        <v>240</v>
      </c>
      <c r="B9" s="431"/>
    </row>
    <row r="10" spans="1:2" ht="12.75">
      <c r="A10" s="442" t="s">
        <v>172</v>
      </c>
      <c r="B10" s="442"/>
    </row>
    <row r="11" spans="1:2" ht="12.75">
      <c r="A11" s="442"/>
      <c r="B11" s="442"/>
    </row>
    <row r="12" spans="1:2" ht="12.75">
      <c r="A12" s="445" t="s">
        <v>236</v>
      </c>
      <c r="B12" s="445"/>
    </row>
    <row r="13" spans="1:2" ht="12.75" customHeight="1">
      <c r="A13" s="446" t="s">
        <v>237</v>
      </c>
      <c r="B13" s="446"/>
    </row>
    <row r="14" spans="1:2" ht="12.75">
      <c r="A14" s="430"/>
      <c r="B14" s="430"/>
    </row>
    <row r="15" spans="1:2" ht="12.75" customHeight="1">
      <c r="A15" s="442" t="s">
        <v>241</v>
      </c>
      <c r="B15" s="442"/>
    </row>
    <row r="16" spans="1:2" ht="12.75">
      <c r="A16" s="431" t="s">
        <v>242</v>
      </c>
      <c r="B16" s="431"/>
    </row>
    <row r="17" spans="1:2" ht="12.75" customHeight="1">
      <c r="A17" s="442" t="s">
        <v>243</v>
      </c>
      <c r="B17" s="442"/>
    </row>
    <row r="18" spans="1:2" ht="12.75" customHeight="1">
      <c r="A18" s="442"/>
      <c r="B18" s="442"/>
    </row>
    <row r="19" spans="1:2" ht="12.75">
      <c r="A19" s="442" t="s">
        <v>300</v>
      </c>
      <c r="B19" s="442"/>
    </row>
    <row r="20" spans="1:2" ht="12.75" customHeight="1">
      <c r="A20" s="442"/>
      <c r="B20" s="442"/>
    </row>
    <row r="21" spans="1:2" ht="12.75">
      <c r="A21" s="432"/>
      <c r="B21" s="432"/>
    </row>
    <row r="22" spans="1:2" ht="12.75">
      <c r="A22" s="442" t="s">
        <v>173</v>
      </c>
      <c r="B22" s="442"/>
    </row>
    <row r="23" spans="1:2" ht="12.75">
      <c r="A23" s="442"/>
      <c r="B23" s="442"/>
    </row>
    <row r="25" ht="12.75">
      <c r="C25" s="165" t="s">
        <v>110</v>
      </c>
    </row>
    <row r="26" ht="12.75"/>
    <row r="27" ht="12.75"/>
    <row r="28" ht="12.75"/>
    <row r="30" spans="1:9" ht="12.75">
      <c r="A30" s="140"/>
      <c r="B30" s="140"/>
      <c r="C30" s="444" t="s">
        <v>111</v>
      </c>
      <c r="D30" s="444"/>
      <c r="E30" s="444"/>
      <c r="F30" s="444"/>
      <c r="G30" s="140"/>
      <c r="H30" s="140"/>
      <c r="I30" s="140"/>
    </row>
    <row r="31" spans="1:9" ht="12.75">
      <c r="A31" s="139" t="s">
        <v>436</v>
      </c>
      <c r="D31" s="139"/>
      <c r="I31" s="433" t="s">
        <v>99</v>
      </c>
    </row>
    <row r="32" ht="12.75">
      <c r="A32" s="372" t="s">
        <v>415</v>
      </c>
    </row>
  </sheetData>
  <sheetProtection password="CA27" sheet="1" objects="1" scenarios="1"/>
  <mergeCells count="12">
    <mergeCell ref="A15:B15"/>
    <mergeCell ref="A6:B6"/>
    <mergeCell ref="A10:B11"/>
    <mergeCell ref="C2:F2"/>
    <mergeCell ref="A19:B20"/>
    <mergeCell ref="C30:F30"/>
    <mergeCell ref="A22:B23"/>
    <mergeCell ref="A4:B4"/>
    <mergeCell ref="A17:B18"/>
    <mergeCell ref="A12:B12"/>
    <mergeCell ref="A13:B13"/>
    <mergeCell ref="A8:B8"/>
  </mergeCells>
  <hyperlinks>
    <hyperlink ref="A32" r:id="rId1" display="John.Bayliss@whht.nhs.uk"/>
  </hyperlinks>
  <printOptions horizontalCentered="1"/>
  <pageMargins left="0.7480314960629921" right="0.7480314960629921" top="0.7874015748031497" bottom="0.7874015748031497" header="0.5118110236220472" footer="0.5118110236220472"/>
  <pageSetup horizontalDpi="360" verticalDpi="36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sheetPr codeName="Sheet8">
    <pageSetUpPr fitToPage="1"/>
  </sheetPr>
  <dimension ref="A1:L97"/>
  <sheetViews>
    <sheetView workbookViewId="0" topLeftCell="A1">
      <selection activeCell="C9" sqref="C9"/>
    </sheetView>
  </sheetViews>
  <sheetFormatPr defaultColWidth="9.00390625" defaultRowHeight="13.5"/>
  <cols>
    <col min="1" max="1" width="12.75390625" style="136" customWidth="1"/>
    <col min="2" max="2" width="25.625" style="136" customWidth="1"/>
    <col min="3" max="3" width="11.625" style="136" customWidth="1"/>
    <col min="4" max="7" width="11.75390625" style="136" customWidth="1"/>
    <col min="8" max="8" width="32.875" style="136" customWidth="1"/>
    <col min="9" max="16384" width="9.00390625" style="136" customWidth="1"/>
  </cols>
  <sheetData>
    <row r="1" spans="1:12" ht="15">
      <c r="A1" s="398" t="s">
        <v>341</v>
      </c>
      <c r="B1" s="159"/>
      <c r="C1" s="159"/>
      <c r="D1" s="159"/>
      <c r="E1" s="159"/>
      <c r="F1" s="426" t="s">
        <v>433</v>
      </c>
      <c r="G1" s="426" t="s">
        <v>434</v>
      </c>
      <c r="H1" s="159"/>
      <c r="I1" s="159"/>
      <c r="J1" s="159"/>
      <c r="K1" s="173"/>
      <c r="L1" s="173"/>
    </row>
    <row r="2" spans="1:12" ht="13.5" customHeight="1">
      <c r="A2" s="399" t="s">
        <v>410</v>
      </c>
      <c r="B2" s="159"/>
      <c r="C2" s="159"/>
      <c r="D2" s="159"/>
      <c r="E2" s="159"/>
      <c r="F2" s="159"/>
      <c r="G2" s="159"/>
      <c r="H2" s="159"/>
      <c r="I2" s="159"/>
      <c r="J2" s="159"/>
      <c r="K2" s="173"/>
      <c r="L2" s="173"/>
    </row>
    <row r="3" spans="1:12" ht="12.75">
      <c r="A3" s="399" t="s">
        <v>412</v>
      </c>
      <c r="B3" s="159"/>
      <c r="C3" s="159"/>
      <c r="D3" s="159"/>
      <c r="E3" s="159"/>
      <c r="F3" s="159"/>
      <c r="G3" s="159"/>
      <c r="H3" s="159"/>
      <c r="I3" s="159"/>
      <c r="J3" s="159"/>
      <c r="K3" s="173"/>
      <c r="L3" s="173"/>
    </row>
    <row r="4" spans="1:12" ht="12.75">
      <c r="A4" s="279" t="s">
        <v>409</v>
      </c>
      <c r="B4" s="279"/>
      <c r="C4" s="280"/>
      <c r="D4" s="280"/>
      <c r="E4" s="280"/>
      <c r="F4" s="280"/>
      <c r="G4" s="280"/>
      <c r="H4" s="281"/>
      <c r="I4" s="159"/>
      <c r="J4" s="159"/>
      <c r="K4" s="173"/>
      <c r="L4" s="173"/>
    </row>
    <row r="5" spans="1:12" ht="12.75">
      <c r="A5" s="412" t="s">
        <v>368</v>
      </c>
      <c r="B5" s="405"/>
      <c r="C5" s="400"/>
      <c r="D5" s="400"/>
      <c r="E5" s="400"/>
      <c r="F5" s="400"/>
      <c r="G5" s="400"/>
      <c r="H5" s="425" t="s">
        <v>369</v>
      </c>
      <c r="I5" s="159"/>
      <c r="J5" s="159"/>
      <c r="K5" s="173"/>
      <c r="L5" s="173"/>
    </row>
    <row r="6" spans="1:12" ht="12" customHeight="1">
      <c r="A6" s="159"/>
      <c r="B6" s="156"/>
      <c r="C6" s="156"/>
      <c r="D6" s="156"/>
      <c r="E6" s="156"/>
      <c r="F6" s="156"/>
      <c r="G6" s="156"/>
      <c r="H6" s="159"/>
      <c r="I6" s="159"/>
      <c r="J6" s="159"/>
      <c r="K6" s="173"/>
      <c r="L6" s="173"/>
    </row>
    <row r="7" spans="1:12" ht="15.75" thickBot="1">
      <c r="A7" s="401" t="s">
        <v>206</v>
      </c>
      <c r="B7" s="159"/>
      <c r="C7" s="402" t="s">
        <v>342</v>
      </c>
      <c r="D7" s="159"/>
      <c r="E7" s="403"/>
      <c r="F7" s="404"/>
      <c r="G7" s="159"/>
      <c r="H7" s="159"/>
      <c r="I7" s="159"/>
      <c r="J7" s="159"/>
      <c r="K7" s="173"/>
      <c r="L7" s="173"/>
    </row>
    <row r="8" spans="1:12" ht="13.5" thickBot="1">
      <c r="A8" s="504" t="s">
        <v>207</v>
      </c>
      <c r="B8" s="505"/>
      <c r="C8" s="191" t="s">
        <v>49</v>
      </c>
      <c r="D8" s="159"/>
      <c r="E8" s="406"/>
      <c r="F8" s="407" t="s">
        <v>209</v>
      </c>
      <c r="G8" s="407" t="s">
        <v>365</v>
      </c>
      <c r="H8" s="159"/>
      <c r="I8" s="159"/>
      <c r="J8" s="159"/>
      <c r="K8" s="173"/>
      <c r="L8" s="173"/>
    </row>
    <row r="9" spans="1:12" ht="12.75">
      <c r="A9" s="506" t="s">
        <v>338</v>
      </c>
      <c r="B9" s="507"/>
      <c r="C9" s="373">
        <v>0</v>
      </c>
      <c r="D9" s="408" t="s">
        <v>208</v>
      </c>
      <c r="E9" s="406"/>
      <c r="F9" s="409">
        <v>0</v>
      </c>
      <c r="G9" s="409">
        <v>1.9</v>
      </c>
      <c r="H9" s="159"/>
      <c r="I9" s="159"/>
      <c r="J9" s="159"/>
      <c r="K9" s="173"/>
      <c r="L9" s="173"/>
    </row>
    <row r="10" spans="1:12" ht="12.75">
      <c r="A10" s="496" t="s">
        <v>339</v>
      </c>
      <c r="B10" s="497"/>
      <c r="C10" s="374">
        <v>0</v>
      </c>
      <c r="D10" s="408" t="s">
        <v>208</v>
      </c>
      <c r="E10" s="406"/>
      <c r="F10" s="409">
        <v>1</v>
      </c>
      <c r="G10" s="409">
        <v>2.8</v>
      </c>
      <c r="H10" s="159"/>
      <c r="I10" s="159"/>
      <c r="J10" s="159"/>
      <c r="K10" s="173"/>
      <c r="L10" s="173"/>
    </row>
    <row r="11" spans="1:12" ht="12.75">
      <c r="A11" s="496" t="s">
        <v>210</v>
      </c>
      <c r="B11" s="497"/>
      <c r="C11" s="374">
        <v>0</v>
      </c>
      <c r="D11" s="408" t="s">
        <v>208</v>
      </c>
      <c r="E11" s="406"/>
      <c r="F11" s="409">
        <v>2</v>
      </c>
      <c r="G11" s="410">
        <v>4</v>
      </c>
      <c r="H11" s="159"/>
      <c r="I11" s="159"/>
      <c r="J11" s="159"/>
      <c r="K11" s="173"/>
      <c r="L11" s="173"/>
    </row>
    <row r="12" spans="1:12" ht="12.75">
      <c r="A12" s="496" t="s">
        <v>211</v>
      </c>
      <c r="B12" s="497"/>
      <c r="C12" s="374">
        <v>0</v>
      </c>
      <c r="D12" s="408" t="s">
        <v>208</v>
      </c>
      <c r="E12" s="406"/>
      <c r="F12" s="409">
        <v>3</v>
      </c>
      <c r="G12" s="409">
        <v>5.9</v>
      </c>
      <c r="H12" s="159"/>
      <c r="I12" s="159"/>
      <c r="J12" s="159"/>
      <c r="K12" s="173"/>
      <c r="L12" s="173"/>
    </row>
    <row r="13" spans="1:12" ht="13.5" thickBot="1">
      <c r="A13" s="498" t="s">
        <v>340</v>
      </c>
      <c r="B13" s="499"/>
      <c r="C13" s="375">
        <v>0</v>
      </c>
      <c r="D13" s="408" t="s">
        <v>366</v>
      </c>
      <c r="E13" s="406"/>
      <c r="F13" s="409">
        <v>4</v>
      </c>
      <c r="G13" s="409">
        <v>8.5</v>
      </c>
      <c r="H13" s="159"/>
      <c r="I13" s="159"/>
      <c r="J13" s="159"/>
      <c r="K13" s="173"/>
      <c r="L13" s="173"/>
    </row>
    <row r="14" spans="1:12" ht="12.75">
      <c r="A14" s="500" t="s">
        <v>209</v>
      </c>
      <c r="B14" s="501"/>
      <c r="C14" s="376">
        <f>SUM(C9:C13)</f>
        <v>0</v>
      </c>
      <c r="D14" s="408" t="s">
        <v>212</v>
      </c>
      <c r="E14" s="406"/>
      <c r="F14" s="409">
        <v>5</v>
      </c>
      <c r="G14" s="409">
        <v>12.5</v>
      </c>
      <c r="H14" s="159"/>
      <c r="I14" s="159"/>
      <c r="J14" s="159"/>
      <c r="K14" s="173"/>
      <c r="L14" s="173"/>
    </row>
    <row r="15" spans="1:12" ht="13.5" thickBot="1">
      <c r="A15" s="502" t="s">
        <v>364</v>
      </c>
      <c r="B15" s="503"/>
      <c r="C15" s="209">
        <f>VLOOKUP(C14,F9:G15,1+1)</f>
        <v>1.9</v>
      </c>
      <c r="D15" s="228"/>
      <c r="E15" s="406"/>
      <c r="F15" s="409">
        <v>6</v>
      </c>
      <c r="G15" s="409">
        <v>18.2</v>
      </c>
      <c r="H15" s="159"/>
      <c r="I15" s="159"/>
      <c r="J15" s="159"/>
      <c r="K15" s="173"/>
      <c r="L15" s="173"/>
    </row>
    <row r="16" spans="1:12" ht="13.5" thickBot="1">
      <c r="A16" s="290"/>
      <c r="B16" s="371"/>
      <c r="C16" s="289" t="str">
        <f>IF($C$15&lt;5,IF(C13=2,"Warfarin probably indicated due to previous CVA/TIA","Warfarin NOT indicated"),IF($C$15&lt;8,"Warfarin may be indicated","Warfarin indicated"))</f>
        <v>Warfarin NOT indicated</v>
      </c>
      <c r="D16" s="411"/>
      <c r="E16" s="403"/>
      <c r="F16" s="404"/>
      <c r="G16" s="159"/>
      <c r="H16" s="159"/>
      <c r="I16" s="155"/>
      <c r="J16" s="155"/>
      <c r="K16" s="173"/>
      <c r="L16" s="173"/>
    </row>
    <row r="17" spans="1:12" ht="12.75">
      <c r="A17" s="411"/>
      <c r="B17" s="411"/>
      <c r="C17" s="411"/>
      <c r="D17" s="411"/>
      <c r="E17" s="403"/>
      <c r="F17" s="404"/>
      <c r="G17" s="159"/>
      <c r="H17" s="159"/>
      <c r="I17" s="155"/>
      <c r="J17" s="155"/>
      <c r="K17" s="173"/>
      <c r="L17" s="173"/>
    </row>
    <row r="18" spans="1:12" ht="12" customHeight="1">
      <c r="A18" s="411"/>
      <c r="B18" s="411"/>
      <c r="C18" s="411"/>
      <c r="D18" s="411"/>
      <c r="E18" s="403"/>
      <c r="F18" s="404"/>
      <c r="G18" s="159"/>
      <c r="H18" s="159"/>
      <c r="I18" s="155"/>
      <c r="J18" s="155"/>
      <c r="K18" s="173"/>
      <c r="L18" s="173"/>
    </row>
    <row r="19" spans="1:12" ht="15.75" thickBot="1">
      <c r="A19" s="398" t="s">
        <v>374</v>
      </c>
      <c r="B19" s="159"/>
      <c r="C19" s="159"/>
      <c r="D19" s="159"/>
      <c r="E19" s="159"/>
      <c r="F19" s="159"/>
      <c r="G19" s="159"/>
      <c r="H19" s="159"/>
      <c r="I19" s="159"/>
      <c r="J19" s="159"/>
      <c r="K19" s="173"/>
      <c r="L19" s="173"/>
    </row>
    <row r="20" spans="1:12" ht="13.5" thickBot="1">
      <c r="A20" s="159" t="s">
        <v>347</v>
      </c>
      <c r="B20" s="159"/>
      <c r="C20" s="508" t="s">
        <v>174</v>
      </c>
      <c r="D20" s="509"/>
      <c r="E20" s="510"/>
      <c r="F20" s="159"/>
      <c r="G20" s="159"/>
      <c r="H20" s="159"/>
      <c r="I20" s="159"/>
      <c r="J20" s="159"/>
      <c r="K20" s="173"/>
      <c r="L20" s="173"/>
    </row>
    <row r="21" spans="1:12" ht="13.5" thickBot="1">
      <c r="A21" s="504" t="s">
        <v>175</v>
      </c>
      <c r="B21" s="505"/>
      <c r="C21" s="193" t="s">
        <v>176</v>
      </c>
      <c r="D21" s="193" t="s">
        <v>177</v>
      </c>
      <c r="E21" s="193" t="s">
        <v>178</v>
      </c>
      <c r="F21" s="191" t="s">
        <v>179</v>
      </c>
      <c r="G21" s="159"/>
      <c r="H21" s="167" t="s">
        <v>196</v>
      </c>
      <c r="I21" s="413"/>
      <c r="J21" s="159"/>
      <c r="K21" s="173"/>
      <c r="L21" s="173"/>
    </row>
    <row r="22" spans="1:12" ht="12.75">
      <c r="A22" s="287" t="s">
        <v>346</v>
      </c>
      <c r="B22" s="182" t="s">
        <v>180</v>
      </c>
      <c r="C22" s="296">
        <v>0.12</v>
      </c>
      <c r="D22" s="296">
        <v>0.1</v>
      </c>
      <c r="E22" s="297">
        <v>0.05</v>
      </c>
      <c r="F22" s="298">
        <v>18</v>
      </c>
      <c r="G22" s="159"/>
      <c r="H22" s="176" t="s">
        <v>184</v>
      </c>
      <c r="I22" s="155"/>
      <c r="J22" s="159"/>
      <c r="K22" s="173"/>
      <c r="L22" s="173"/>
    </row>
    <row r="23" spans="1:12" ht="13.5" thickBot="1">
      <c r="A23" s="286" t="s">
        <v>162</v>
      </c>
      <c r="B23" s="178" t="s">
        <v>192</v>
      </c>
      <c r="C23" s="179" t="s">
        <v>200</v>
      </c>
      <c r="D23" s="180" t="s">
        <v>199</v>
      </c>
      <c r="E23" s="168" t="s">
        <v>198</v>
      </c>
      <c r="F23" s="181">
        <v>42</v>
      </c>
      <c r="G23" s="159"/>
      <c r="H23" s="176" t="s">
        <v>185</v>
      </c>
      <c r="I23" s="155"/>
      <c r="J23" s="159"/>
      <c r="K23" s="173"/>
      <c r="L23" s="173"/>
    </row>
    <row r="24" spans="1:12" ht="12.75">
      <c r="A24" s="491" t="s">
        <v>181</v>
      </c>
      <c r="B24" s="182" t="s">
        <v>193</v>
      </c>
      <c r="C24" s="487" t="s">
        <v>201</v>
      </c>
      <c r="D24" s="487" t="s">
        <v>202</v>
      </c>
      <c r="E24" s="487" t="s">
        <v>203</v>
      </c>
      <c r="F24" s="494">
        <v>71</v>
      </c>
      <c r="G24" s="159"/>
      <c r="H24" s="176" t="s">
        <v>186</v>
      </c>
      <c r="I24" s="155"/>
      <c r="J24" s="159"/>
      <c r="K24" s="173"/>
      <c r="L24" s="173"/>
    </row>
    <row r="25" spans="1:12" ht="13.5" thickBot="1">
      <c r="A25" s="492"/>
      <c r="B25" s="178" t="s">
        <v>194</v>
      </c>
      <c r="C25" s="486"/>
      <c r="D25" s="486"/>
      <c r="E25" s="486"/>
      <c r="F25" s="495"/>
      <c r="G25" s="159"/>
      <c r="H25" s="176" t="s">
        <v>187</v>
      </c>
      <c r="I25" s="155"/>
      <c r="J25" s="159"/>
      <c r="K25" s="173"/>
      <c r="L25" s="173"/>
    </row>
    <row r="26" spans="1:12" ht="13.5" thickBot="1">
      <c r="A26" s="295" t="s">
        <v>165</v>
      </c>
      <c r="B26" s="178" t="s">
        <v>195</v>
      </c>
      <c r="C26" s="183" t="s">
        <v>203</v>
      </c>
      <c r="D26" s="184">
        <v>0.01</v>
      </c>
      <c r="E26" s="185">
        <v>0.005</v>
      </c>
      <c r="F26" s="186">
        <v>142</v>
      </c>
      <c r="G26" s="159"/>
      <c r="H26" s="176" t="s">
        <v>188</v>
      </c>
      <c r="I26" s="155"/>
      <c r="J26" s="159"/>
      <c r="K26" s="173"/>
      <c r="L26" s="173"/>
    </row>
    <row r="27" spans="1:12" ht="13.5" thickBot="1">
      <c r="A27" s="228"/>
      <c r="B27" s="228" t="s">
        <v>182</v>
      </c>
      <c r="C27" s="159"/>
      <c r="D27" s="159"/>
      <c r="E27" s="159"/>
      <c r="F27" s="159"/>
      <c r="G27" s="159"/>
      <c r="H27" s="176" t="s">
        <v>189</v>
      </c>
      <c r="I27" s="155"/>
      <c r="J27" s="159"/>
      <c r="K27" s="173"/>
      <c r="L27" s="173"/>
    </row>
    <row r="28" spans="1:12" ht="13.5" thickBot="1">
      <c r="A28" s="192" t="s">
        <v>362</v>
      </c>
      <c r="B28" s="291" t="s">
        <v>183</v>
      </c>
      <c r="C28" s="292">
        <v>0.001</v>
      </c>
      <c r="D28" s="293">
        <v>0.01</v>
      </c>
      <c r="E28" s="293">
        <v>0.02</v>
      </c>
      <c r="F28" s="294" t="s">
        <v>363</v>
      </c>
      <c r="G28" s="159"/>
      <c r="H28" s="176" t="s">
        <v>190</v>
      </c>
      <c r="I28" s="155"/>
      <c r="J28" s="159"/>
      <c r="K28" s="173"/>
      <c r="L28" s="173"/>
    </row>
    <row r="29" spans="1:12" ht="13.5" thickBot="1">
      <c r="A29" s="413"/>
      <c r="B29" s="228" t="s">
        <v>349</v>
      </c>
      <c r="C29" s="420"/>
      <c r="D29" s="403"/>
      <c r="E29" s="403"/>
      <c r="F29" s="416"/>
      <c r="G29" s="159"/>
      <c r="H29" s="187" t="s">
        <v>197</v>
      </c>
      <c r="I29" s="155"/>
      <c r="J29" s="159"/>
      <c r="K29" s="173"/>
      <c r="L29" s="173"/>
    </row>
    <row r="30" spans="1:12" ht="13.5" thickBot="1">
      <c r="A30" s="215" t="s">
        <v>351</v>
      </c>
      <c r="B30" s="159"/>
      <c r="C30" s="511" t="s">
        <v>350</v>
      </c>
      <c r="D30" s="512"/>
      <c r="E30" s="513"/>
      <c r="F30" s="404"/>
      <c r="G30" s="159"/>
      <c r="H30" s="159"/>
      <c r="I30" s="159"/>
      <c r="J30" s="159"/>
      <c r="K30" s="173"/>
      <c r="L30" s="173"/>
    </row>
    <row r="31" spans="1:12" ht="13.5" thickBot="1">
      <c r="A31" s="504" t="s">
        <v>175</v>
      </c>
      <c r="B31" s="505"/>
      <c r="C31" s="193" t="s">
        <v>176</v>
      </c>
      <c r="D31" s="193" t="s">
        <v>177</v>
      </c>
      <c r="E31" s="191" t="s">
        <v>178</v>
      </c>
      <c r="F31" s="417"/>
      <c r="G31" s="159"/>
      <c r="H31" s="159"/>
      <c r="I31" s="159"/>
      <c r="J31" s="159"/>
      <c r="K31" s="173"/>
      <c r="L31" s="173"/>
    </row>
    <row r="32" spans="1:12" ht="12.75">
      <c r="A32" s="286" t="s">
        <v>346</v>
      </c>
      <c r="B32" s="182" t="s">
        <v>180</v>
      </c>
      <c r="C32" s="296">
        <v>0.12</v>
      </c>
      <c r="D32" s="296">
        <v>0.11</v>
      </c>
      <c r="E32" s="299">
        <v>0.07</v>
      </c>
      <c r="F32" s="404"/>
      <c r="G32" s="159"/>
      <c r="H32" s="159"/>
      <c r="I32" s="159"/>
      <c r="J32" s="159"/>
      <c r="K32" s="173"/>
      <c r="L32" s="173"/>
    </row>
    <row r="33" spans="1:12" ht="13.5" thickBot="1">
      <c r="A33" s="286" t="s">
        <v>162</v>
      </c>
      <c r="B33" s="178" t="s">
        <v>192</v>
      </c>
      <c r="C33" s="179" t="s">
        <v>200</v>
      </c>
      <c r="D33" s="180" t="s">
        <v>343</v>
      </c>
      <c r="E33" s="285" t="s">
        <v>344</v>
      </c>
      <c r="F33" s="404"/>
      <c r="G33" s="159"/>
      <c r="H33" s="159"/>
      <c r="I33" s="159"/>
      <c r="J33" s="159"/>
      <c r="K33" s="173"/>
      <c r="L33" s="173"/>
    </row>
    <row r="34" spans="1:12" ht="12.75">
      <c r="A34" s="491" t="s">
        <v>181</v>
      </c>
      <c r="B34" s="182" t="s">
        <v>193</v>
      </c>
      <c r="C34" s="487" t="s">
        <v>201</v>
      </c>
      <c r="D34" s="487" t="s">
        <v>201</v>
      </c>
      <c r="E34" s="488" t="s">
        <v>345</v>
      </c>
      <c r="F34" s="404"/>
      <c r="G34" s="159"/>
      <c r="H34" s="159"/>
      <c r="I34" s="159"/>
      <c r="J34" s="159"/>
      <c r="K34" s="173"/>
      <c r="L34" s="173"/>
    </row>
    <row r="35" spans="1:12" ht="13.5" thickBot="1">
      <c r="A35" s="492"/>
      <c r="B35" s="178" t="s">
        <v>194</v>
      </c>
      <c r="C35" s="486"/>
      <c r="D35" s="486"/>
      <c r="E35" s="489"/>
      <c r="F35" s="404"/>
      <c r="G35" s="159"/>
      <c r="H35" s="413"/>
      <c r="I35" s="413"/>
      <c r="J35" s="159"/>
      <c r="K35" s="173"/>
      <c r="L35" s="173"/>
    </row>
    <row r="36" spans="1:12" ht="13.5" thickBot="1">
      <c r="A36" s="295" t="s">
        <v>165</v>
      </c>
      <c r="B36" s="178" t="s">
        <v>195</v>
      </c>
      <c r="C36" s="183" t="s">
        <v>203</v>
      </c>
      <c r="D36" s="184">
        <v>0.02</v>
      </c>
      <c r="E36" s="288">
        <v>0.025</v>
      </c>
      <c r="F36" s="490"/>
      <c r="G36" s="159"/>
      <c r="H36" s="414"/>
      <c r="I36" s="155"/>
      <c r="J36" s="159"/>
      <c r="K36" s="173"/>
      <c r="L36" s="173"/>
    </row>
    <row r="37" spans="1:12" ht="12" customHeight="1">
      <c r="A37" s="228"/>
      <c r="B37" s="228"/>
      <c r="C37" s="420"/>
      <c r="D37" s="403"/>
      <c r="E37" s="403"/>
      <c r="F37" s="490"/>
      <c r="G37" s="159"/>
      <c r="H37" s="414"/>
      <c r="I37" s="155"/>
      <c r="J37" s="159"/>
      <c r="K37" s="173"/>
      <c r="L37" s="173"/>
    </row>
    <row r="38" spans="1:12" ht="12.75">
      <c r="A38" s="399" t="s">
        <v>367</v>
      </c>
      <c r="B38" s="159"/>
      <c r="C38" s="420"/>
      <c r="D38" s="403"/>
      <c r="E38" s="403"/>
      <c r="F38" s="159"/>
      <c r="G38" s="159"/>
      <c r="H38" s="414"/>
      <c r="I38" s="155"/>
      <c r="J38" s="159"/>
      <c r="K38" s="173"/>
      <c r="L38" s="173"/>
    </row>
    <row r="39" spans="1:12" ht="13.5" thickBot="1">
      <c r="A39" s="424" t="s">
        <v>348</v>
      </c>
      <c r="B39" s="159"/>
      <c r="C39" s="420"/>
      <c r="D39" s="403"/>
      <c r="E39" s="403"/>
      <c r="F39" s="404"/>
      <c r="G39" s="159"/>
      <c r="H39" s="414"/>
      <c r="I39" s="155"/>
      <c r="J39" s="159"/>
      <c r="K39" s="173"/>
      <c r="L39" s="173"/>
    </row>
    <row r="40" spans="1:12" ht="13.5" thickBot="1">
      <c r="A40" s="504" t="s">
        <v>175</v>
      </c>
      <c r="B40" s="505"/>
      <c r="C40" s="193" t="s">
        <v>176</v>
      </c>
      <c r="D40" s="193" t="s">
        <v>177</v>
      </c>
      <c r="E40" s="191" t="s">
        <v>178</v>
      </c>
      <c r="F40" s="404"/>
      <c r="G40" s="159"/>
      <c r="H40" s="414"/>
      <c r="I40" s="155"/>
      <c r="J40" s="159"/>
      <c r="K40" s="173"/>
      <c r="L40" s="173"/>
    </row>
    <row r="41" spans="1:12" ht="12.75">
      <c r="A41" s="286" t="s">
        <v>346</v>
      </c>
      <c r="B41" s="182" t="s">
        <v>180</v>
      </c>
      <c r="C41" s="296">
        <v>0.88</v>
      </c>
      <c r="D41" s="296">
        <v>0.9</v>
      </c>
      <c r="E41" s="299">
        <v>0.95</v>
      </c>
      <c r="F41" s="404"/>
      <c r="G41" s="159"/>
      <c r="H41" s="414"/>
      <c r="I41" s="155"/>
      <c r="J41" s="159"/>
      <c r="K41" s="173"/>
      <c r="L41" s="173"/>
    </row>
    <row r="42" spans="1:12" ht="13.5" thickBot="1">
      <c r="A42" s="286" t="s">
        <v>162</v>
      </c>
      <c r="B42" s="178" t="s">
        <v>192</v>
      </c>
      <c r="C42" s="189">
        <v>0.92</v>
      </c>
      <c r="D42" s="189">
        <v>0.94</v>
      </c>
      <c r="E42" s="194">
        <v>0.97</v>
      </c>
      <c r="F42" s="404"/>
      <c r="G42" s="159"/>
      <c r="H42" s="414"/>
      <c r="I42" s="155"/>
      <c r="J42" s="159"/>
      <c r="K42" s="173"/>
      <c r="L42" s="173"/>
    </row>
    <row r="43" spans="1:12" ht="12.75">
      <c r="A43" s="491" t="s">
        <v>181</v>
      </c>
      <c r="B43" s="182" t="s">
        <v>193</v>
      </c>
      <c r="C43" s="485">
        <v>0.95</v>
      </c>
      <c r="D43" s="485">
        <v>0.96</v>
      </c>
      <c r="E43" s="493">
        <v>0.98</v>
      </c>
      <c r="F43" s="404"/>
      <c r="G43" s="159"/>
      <c r="H43" s="415"/>
      <c r="I43" s="155"/>
      <c r="J43" s="159"/>
      <c r="K43" s="173"/>
      <c r="L43" s="173"/>
    </row>
    <row r="44" spans="1:12" ht="13.5" thickBot="1">
      <c r="A44" s="492"/>
      <c r="B44" s="178" t="s">
        <v>194</v>
      </c>
      <c r="C44" s="486"/>
      <c r="D44" s="486"/>
      <c r="E44" s="489"/>
      <c r="F44" s="404"/>
      <c r="G44" s="159"/>
      <c r="H44" s="159"/>
      <c r="I44" s="159"/>
      <c r="J44" s="159"/>
      <c r="K44" s="173"/>
      <c r="L44" s="173"/>
    </row>
    <row r="45" spans="1:12" ht="13.5" thickBot="1">
      <c r="A45" s="295" t="s">
        <v>165</v>
      </c>
      <c r="B45" s="178" t="s">
        <v>195</v>
      </c>
      <c r="C45" s="190">
        <v>0.98</v>
      </c>
      <c r="D45" s="184">
        <v>0.99</v>
      </c>
      <c r="E45" s="195">
        <v>0.995</v>
      </c>
      <c r="F45" s="404"/>
      <c r="G45" s="159"/>
      <c r="H45" s="159"/>
      <c r="I45" s="159"/>
      <c r="J45" s="159"/>
      <c r="K45" s="173"/>
      <c r="L45" s="173"/>
    </row>
    <row r="46" spans="1:12" ht="12" customHeight="1">
      <c r="A46" s="413"/>
      <c r="B46" s="418"/>
      <c r="C46" s="419"/>
      <c r="D46" s="403"/>
      <c r="E46" s="420"/>
      <c r="F46" s="404"/>
      <c r="G46" s="159"/>
      <c r="H46" s="159"/>
      <c r="I46" s="159"/>
      <c r="J46" s="159"/>
      <c r="K46" s="173"/>
      <c r="L46" s="173"/>
    </row>
    <row r="47" spans="1:12" ht="12.75">
      <c r="A47" s="421" t="s">
        <v>352</v>
      </c>
      <c r="B47" s="159"/>
      <c r="C47" s="420"/>
      <c r="D47" s="403"/>
      <c r="E47" s="403"/>
      <c r="F47" s="404"/>
      <c r="G47" s="159"/>
      <c r="H47" s="159"/>
      <c r="I47" s="159"/>
      <c r="J47" s="159"/>
      <c r="K47" s="173"/>
      <c r="L47" s="173"/>
    </row>
    <row r="48" spans="1:12" ht="12.75">
      <c r="A48" s="422" t="s">
        <v>354</v>
      </c>
      <c r="B48" s="159"/>
      <c r="C48" s="159"/>
      <c r="D48" s="159"/>
      <c r="E48" s="159"/>
      <c r="F48" s="404"/>
      <c r="G48" s="159"/>
      <c r="H48" s="159"/>
      <c r="I48" s="159"/>
      <c r="J48" s="159"/>
      <c r="K48" s="173"/>
      <c r="L48" s="173"/>
    </row>
    <row r="49" spans="1:12" ht="12.75">
      <c r="A49" s="422" t="s">
        <v>355</v>
      </c>
      <c r="B49" s="159"/>
      <c r="C49" s="159"/>
      <c r="D49" s="159"/>
      <c r="E49" s="159"/>
      <c r="F49" s="404"/>
      <c r="G49" s="159"/>
      <c r="H49" s="159"/>
      <c r="I49" s="159"/>
      <c r="J49" s="159"/>
      <c r="K49" s="173"/>
      <c r="L49" s="173"/>
    </row>
    <row r="50" spans="1:12" ht="12.75">
      <c r="A50" s="422" t="s">
        <v>356</v>
      </c>
      <c r="B50" s="159"/>
      <c r="C50" s="159"/>
      <c r="D50" s="159"/>
      <c r="E50" s="159"/>
      <c r="F50" s="404"/>
      <c r="G50" s="159"/>
      <c r="H50" s="159"/>
      <c r="I50" s="159"/>
      <c r="J50" s="159"/>
      <c r="K50" s="173"/>
      <c r="L50" s="173"/>
    </row>
    <row r="51" spans="1:12" ht="12.75">
      <c r="A51" s="405" t="s">
        <v>353</v>
      </c>
      <c r="B51" s="159"/>
      <c r="C51" s="159"/>
      <c r="D51" s="159"/>
      <c r="E51" s="159"/>
      <c r="F51" s="404"/>
      <c r="G51" s="159"/>
      <c r="H51" s="159"/>
      <c r="I51" s="159"/>
      <c r="J51" s="159"/>
      <c r="K51" s="173"/>
      <c r="L51" s="173"/>
    </row>
    <row r="52" spans="1:12" ht="12.75">
      <c r="A52" s="422" t="s">
        <v>357</v>
      </c>
      <c r="B52" s="159"/>
      <c r="C52" s="159"/>
      <c r="D52" s="159"/>
      <c r="E52" s="159"/>
      <c r="F52" s="404"/>
      <c r="G52" s="159"/>
      <c r="H52" s="159"/>
      <c r="I52" s="159"/>
      <c r="J52" s="159"/>
      <c r="K52" s="173"/>
      <c r="L52" s="173"/>
    </row>
    <row r="53" spans="1:12" ht="12.75">
      <c r="A53" s="422" t="s">
        <v>358</v>
      </c>
      <c r="B53" s="159"/>
      <c r="C53" s="159"/>
      <c r="D53" s="159"/>
      <c r="E53" s="159"/>
      <c r="F53" s="159"/>
      <c r="G53" s="159"/>
      <c r="H53" s="159"/>
      <c r="I53" s="159"/>
      <c r="J53" s="159"/>
      <c r="K53" s="173"/>
      <c r="L53" s="173"/>
    </row>
    <row r="54" spans="1:12" ht="12.75">
      <c r="A54" s="405" t="s">
        <v>359</v>
      </c>
      <c r="B54" s="159"/>
      <c r="C54" s="159"/>
      <c r="D54" s="159"/>
      <c r="E54" s="159"/>
      <c r="F54" s="159"/>
      <c r="G54" s="159"/>
      <c r="H54" s="159"/>
      <c r="I54" s="159"/>
      <c r="J54" s="159"/>
      <c r="K54" s="173"/>
      <c r="L54" s="173"/>
    </row>
    <row r="55" spans="1:12" ht="12.75">
      <c r="A55" s="422" t="s">
        <v>360</v>
      </c>
      <c r="B55" s="159"/>
      <c r="C55" s="159"/>
      <c r="D55" s="159"/>
      <c r="E55" s="159"/>
      <c r="F55" s="159"/>
      <c r="G55" s="159"/>
      <c r="H55" s="159"/>
      <c r="I55" s="159"/>
      <c r="J55" s="159"/>
      <c r="K55" s="173"/>
      <c r="L55" s="173"/>
    </row>
    <row r="56" spans="1:12" ht="12" customHeight="1">
      <c r="A56" s="422"/>
      <c r="B56" s="159"/>
      <c r="C56" s="159"/>
      <c r="D56" s="159"/>
      <c r="E56" s="159"/>
      <c r="F56" s="159"/>
      <c r="G56" s="159"/>
      <c r="H56" s="159"/>
      <c r="I56" s="159"/>
      <c r="J56" s="159"/>
      <c r="K56" s="173"/>
      <c r="L56" s="173"/>
    </row>
    <row r="57" spans="1:12" ht="12.75">
      <c r="A57" s="421" t="s">
        <v>361</v>
      </c>
      <c r="B57" s="159"/>
      <c r="C57" s="159"/>
      <c r="D57" s="159"/>
      <c r="E57" s="159"/>
      <c r="F57" s="159"/>
      <c r="G57" s="159"/>
      <c r="H57" s="159"/>
      <c r="I57" s="159"/>
      <c r="J57" s="159"/>
      <c r="K57" s="173"/>
      <c r="L57" s="173"/>
    </row>
    <row r="58" spans="1:12" ht="12.75">
      <c r="A58" s="423" t="s">
        <v>417</v>
      </c>
      <c r="B58" s="159"/>
      <c r="C58" s="159"/>
      <c r="D58" s="159"/>
      <c r="E58" s="159"/>
      <c r="F58" s="159"/>
      <c r="G58" s="159"/>
      <c r="H58" s="159"/>
      <c r="I58" s="159"/>
      <c r="J58" s="159"/>
      <c r="K58" s="173"/>
      <c r="L58" s="173"/>
    </row>
    <row r="59" spans="1:12" ht="12.75">
      <c r="A59" s="423" t="s">
        <v>370</v>
      </c>
      <c r="B59" s="159"/>
      <c r="C59" s="159"/>
      <c r="D59" s="159"/>
      <c r="E59" s="159"/>
      <c r="F59" s="159"/>
      <c r="G59" s="159"/>
      <c r="H59" s="159"/>
      <c r="I59" s="159"/>
      <c r="J59" s="159"/>
      <c r="K59" s="173"/>
      <c r="L59" s="173"/>
    </row>
    <row r="60" spans="1:12" ht="12.75">
      <c r="A60" s="423" t="s">
        <v>371</v>
      </c>
      <c r="B60" s="159"/>
      <c r="C60" s="420"/>
      <c r="D60" s="403"/>
      <c r="E60" s="403"/>
      <c r="F60" s="159"/>
      <c r="G60" s="159"/>
      <c r="H60" s="159"/>
      <c r="I60" s="159"/>
      <c r="J60" s="159"/>
      <c r="K60" s="173"/>
      <c r="L60" s="173"/>
    </row>
    <row r="61" spans="1:12" ht="12.75">
      <c r="A61" s="422" t="s">
        <v>372</v>
      </c>
      <c r="B61" s="159"/>
      <c r="C61" s="159"/>
      <c r="D61" s="159"/>
      <c r="E61" s="159"/>
      <c r="F61" s="159"/>
      <c r="G61" s="159"/>
      <c r="H61" s="159"/>
      <c r="I61" s="159"/>
      <c r="J61" s="159"/>
      <c r="K61" s="173"/>
      <c r="L61" s="173"/>
    </row>
    <row r="62" spans="1:12" ht="12.75">
      <c r="A62" s="429" t="s">
        <v>373</v>
      </c>
      <c r="B62" s="155"/>
      <c r="C62" s="155"/>
      <c r="D62" s="155"/>
      <c r="E62" s="155"/>
      <c r="F62" s="155"/>
      <c r="G62" s="155"/>
      <c r="H62" s="155"/>
      <c r="I62" s="155"/>
      <c r="J62" s="155"/>
      <c r="K62" s="173"/>
      <c r="L62" s="173"/>
    </row>
    <row r="63" spans="1:12" ht="12.75">
      <c r="A63" s="428"/>
      <c r="B63" s="248"/>
      <c r="C63" s="248"/>
      <c r="D63" s="248"/>
      <c r="E63" s="248"/>
      <c r="F63" s="248"/>
      <c r="G63" s="248"/>
      <c r="H63" s="248"/>
      <c r="I63" s="248"/>
      <c r="J63" s="248"/>
      <c r="K63" s="173"/>
      <c r="L63" s="173"/>
    </row>
    <row r="64" spans="1:12" ht="12.75">
      <c r="A64" s="121" t="s">
        <v>435</v>
      </c>
      <c r="B64" s="159"/>
      <c r="C64" s="159"/>
      <c r="D64" s="159"/>
      <c r="E64" s="159"/>
      <c r="F64" s="404"/>
      <c r="G64" s="159"/>
      <c r="H64" s="159"/>
      <c r="I64" s="159"/>
      <c r="J64" s="427" t="s">
        <v>99</v>
      </c>
      <c r="K64" s="173"/>
      <c r="L64" s="173"/>
    </row>
    <row r="65" spans="1:12" ht="12.75">
      <c r="A65" s="174"/>
      <c r="B65" s="173"/>
      <c r="C65" s="173"/>
      <c r="D65" s="173"/>
      <c r="E65" s="173"/>
      <c r="F65" s="173"/>
      <c r="G65" s="173"/>
      <c r="H65" s="173"/>
      <c r="I65" s="173"/>
      <c r="J65" s="173"/>
      <c r="K65" s="173"/>
      <c r="L65" s="173"/>
    </row>
    <row r="66" spans="1:12" ht="12.75">
      <c r="A66" s="174"/>
      <c r="B66" s="173"/>
      <c r="C66" s="173"/>
      <c r="D66" s="173"/>
      <c r="E66" s="173"/>
      <c r="F66" s="173"/>
      <c r="G66" s="173"/>
      <c r="H66" s="173"/>
      <c r="I66" s="173"/>
      <c r="J66" s="173"/>
      <c r="K66" s="173"/>
      <c r="L66" s="173"/>
    </row>
    <row r="67" spans="1:12" ht="12.75">
      <c r="A67" s="174"/>
      <c r="B67" s="174"/>
      <c r="C67" s="173"/>
      <c r="D67" s="173"/>
      <c r="E67" s="173"/>
      <c r="F67" s="173"/>
      <c r="G67" s="173"/>
      <c r="H67" s="173"/>
      <c r="I67" s="173"/>
      <c r="J67" s="173"/>
      <c r="K67" s="173"/>
      <c r="L67" s="173"/>
    </row>
    <row r="68" spans="1:12" ht="12.75">
      <c r="A68" s="208"/>
      <c r="B68" s="208"/>
      <c r="C68" s="177"/>
      <c r="D68" s="173"/>
      <c r="E68" s="173"/>
      <c r="F68" s="173"/>
      <c r="G68" s="173"/>
      <c r="H68" s="173"/>
      <c r="I68" s="173"/>
      <c r="J68" s="173"/>
      <c r="K68" s="173"/>
      <c r="L68" s="173"/>
    </row>
    <row r="69" spans="1:12" ht="12.75">
      <c r="A69" s="177"/>
      <c r="B69" s="177"/>
      <c r="C69" s="177"/>
      <c r="D69" s="173"/>
      <c r="E69" s="173"/>
      <c r="F69" s="173"/>
      <c r="G69" s="173"/>
      <c r="H69" s="173"/>
      <c r="I69" s="173"/>
      <c r="J69" s="173"/>
      <c r="K69" s="173"/>
      <c r="L69" s="173"/>
    </row>
    <row r="70" spans="1:12" ht="12.75">
      <c r="A70" s="175"/>
      <c r="B70" s="175"/>
      <c r="C70" s="188"/>
      <c r="D70" s="173"/>
      <c r="E70" s="173"/>
      <c r="F70" s="173"/>
      <c r="G70" s="173"/>
      <c r="H70" s="173"/>
      <c r="I70" s="173"/>
      <c r="J70" s="173"/>
      <c r="K70" s="173"/>
      <c r="L70" s="173"/>
    </row>
    <row r="71" spans="1:12" ht="12.75">
      <c r="A71" s="175"/>
      <c r="B71" s="175"/>
      <c r="C71" s="188"/>
      <c r="D71" s="173"/>
      <c r="E71" s="173"/>
      <c r="F71" s="173"/>
      <c r="G71" s="173"/>
      <c r="H71" s="173"/>
      <c r="I71" s="173"/>
      <c r="J71" s="173"/>
      <c r="K71" s="173"/>
      <c r="L71" s="173"/>
    </row>
    <row r="72" spans="1:12" ht="12.75">
      <c r="A72" s="175"/>
      <c r="B72" s="175"/>
      <c r="C72" s="188"/>
      <c r="D72" s="173"/>
      <c r="E72" s="173"/>
      <c r="F72" s="173"/>
      <c r="G72" s="173"/>
      <c r="H72" s="173"/>
      <c r="I72" s="173"/>
      <c r="J72" s="173"/>
      <c r="K72" s="173"/>
      <c r="L72" s="173"/>
    </row>
    <row r="73" spans="1:12" ht="12.75">
      <c r="A73" s="175"/>
      <c r="B73" s="175"/>
      <c r="C73" s="188"/>
      <c r="D73" s="173"/>
      <c r="E73" s="173"/>
      <c r="F73" s="173"/>
      <c r="G73" s="173"/>
      <c r="H73" s="173"/>
      <c r="I73" s="173"/>
      <c r="J73" s="173"/>
      <c r="K73" s="173"/>
      <c r="L73" s="173"/>
    </row>
    <row r="74" spans="1:12" ht="12.75">
      <c r="A74" s="175"/>
      <c r="B74" s="175"/>
      <c r="C74" s="188"/>
      <c r="D74" s="173"/>
      <c r="E74" s="173"/>
      <c r="F74" s="173"/>
      <c r="G74" s="173"/>
      <c r="H74" s="173"/>
      <c r="I74" s="173"/>
      <c r="J74" s="173"/>
      <c r="K74" s="173"/>
      <c r="L74" s="173"/>
    </row>
    <row r="75" spans="1:12" ht="12.75">
      <c r="A75" s="175"/>
      <c r="B75" s="175"/>
      <c r="C75" s="188"/>
      <c r="D75" s="173"/>
      <c r="E75" s="173"/>
      <c r="F75" s="173"/>
      <c r="G75" s="173"/>
      <c r="H75" s="173"/>
      <c r="I75" s="173"/>
      <c r="J75" s="173"/>
      <c r="K75" s="173"/>
      <c r="L75" s="173"/>
    </row>
    <row r="76" spans="1:12" ht="12.75">
      <c r="A76" s="175"/>
      <c r="B76" s="175"/>
      <c r="C76" s="188"/>
      <c r="D76" s="173"/>
      <c r="E76" s="173"/>
      <c r="F76" s="173"/>
      <c r="G76" s="173"/>
      <c r="H76" s="173"/>
      <c r="I76" s="173"/>
      <c r="J76" s="173"/>
      <c r="K76" s="173"/>
      <c r="L76" s="173"/>
    </row>
    <row r="77" spans="1:12" ht="12.75">
      <c r="A77" s="173"/>
      <c r="B77" s="173"/>
      <c r="C77" s="173"/>
      <c r="D77" s="173"/>
      <c r="E77" s="173"/>
      <c r="F77" s="173"/>
      <c r="G77" s="173"/>
      <c r="H77" s="173"/>
      <c r="I77" s="173"/>
      <c r="J77" s="173"/>
      <c r="K77" s="173"/>
      <c r="L77" s="173"/>
    </row>
    <row r="78" spans="1:12" ht="12.75">
      <c r="A78" s="173"/>
      <c r="B78" s="173"/>
      <c r="C78" s="173"/>
      <c r="D78" s="173"/>
      <c r="E78" s="173"/>
      <c r="F78" s="173"/>
      <c r="G78" s="173"/>
      <c r="H78" s="173"/>
      <c r="I78" s="173"/>
      <c r="J78" s="173"/>
      <c r="K78" s="173"/>
      <c r="L78" s="173"/>
    </row>
    <row r="79" spans="1:12" ht="12.75">
      <c r="A79" s="173"/>
      <c r="B79" s="173"/>
      <c r="C79" s="173"/>
      <c r="D79" s="173"/>
      <c r="E79" s="173"/>
      <c r="F79" s="173"/>
      <c r="G79" s="173"/>
      <c r="H79" s="173"/>
      <c r="I79" s="173"/>
      <c r="J79" s="173"/>
      <c r="K79" s="173"/>
      <c r="L79" s="173"/>
    </row>
    <row r="80" spans="1:12" ht="12.75">
      <c r="A80" s="173"/>
      <c r="B80" s="173"/>
      <c r="C80" s="173"/>
      <c r="D80" s="173"/>
      <c r="E80" s="173"/>
      <c r="F80" s="173"/>
      <c r="G80" s="173"/>
      <c r="H80" s="173"/>
      <c r="I80" s="173"/>
      <c r="J80" s="173"/>
      <c r="K80" s="173"/>
      <c r="L80" s="173"/>
    </row>
    <row r="81" spans="1:12" ht="12.75">
      <c r="A81" s="173"/>
      <c r="B81" s="173"/>
      <c r="C81" s="173"/>
      <c r="D81" s="173"/>
      <c r="E81" s="173"/>
      <c r="F81" s="173"/>
      <c r="G81" s="173"/>
      <c r="H81" s="173"/>
      <c r="I81" s="173"/>
      <c r="J81" s="173"/>
      <c r="K81" s="173"/>
      <c r="L81" s="173"/>
    </row>
    <row r="82" spans="1:12" ht="12.75">
      <c r="A82" s="173"/>
      <c r="B82" s="173"/>
      <c r="C82" s="173"/>
      <c r="D82" s="173"/>
      <c r="E82" s="173"/>
      <c r="F82" s="173"/>
      <c r="G82" s="173"/>
      <c r="H82" s="173"/>
      <c r="I82" s="173"/>
      <c r="J82" s="173"/>
      <c r="K82" s="173"/>
      <c r="L82" s="173"/>
    </row>
    <row r="83" spans="1:12" ht="12.75">
      <c r="A83" s="173"/>
      <c r="B83" s="173"/>
      <c r="C83" s="173"/>
      <c r="D83" s="173"/>
      <c r="E83" s="173"/>
      <c r="F83" s="173"/>
      <c r="G83" s="173"/>
      <c r="H83" s="173"/>
      <c r="I83" s="173"/>
      <c r="J83" s="173"/>
      <c r="K83" s="173"/>
      <c r="L83" s="173"/>
    </row>
    <row r="84" spans="1:12" ht="12.75">
      <c r="A84" s="173"/>
      <c r="B84" s="173"/>
      <c r="C84" s="173"/>
      <c r="D84" s="173"/>
      <c r="E84" s="173"/>
      <c r="F84" s="173"/>
      <c r="G84" s="173"/>
      <c r="H84" s="173"/>
      <c r="I84" s="173"/>
      <c r="J84" s="173"/>
      <c r="K84" s="173"/>
      <c r="L84" s="173"/>
    </row>
    <row r="85" spans="1:12" ht="12.75">
      <c r="A85" s="173"/>
      <c r="B85" s="173"/>
      <c r="C85" s="173"/>
      <c r="D85" s="173"/>
      <c r="E85" s="173"/>
      <c r="F85" s="173"/>
      <c r="G85" s="173"/>
      <c r="H85" s="173"/>
      <c r="I85" s="173"/>
      <c r="J85" s="173"/>
      <c r="K85" s="173"/>
      <c r="L85" s="173"/>
    </row>
    <row r="86" spans="1:12" ht="12.75">
      <c r="A86" s="173"/>
      <c r="B86" s="173"/>
      <c r="C86" s="173"/>
      <c r="D86" s="173"/>
      <c r="E86" s="173"/>
      <c r="F86" s="173"/>
      <c r="G86" s="173"/>
      <c r="H86" s="173"/>
      <c r="I86" s="173"/>
      <c r="J86" s="173"/>
      <c r="K86" s="173"/>
      <c r="L86" s="173"/>
    </row>
    <row r="87" spans="1:12" ht="12.75">
      <c r="A87" s="173"/>
      <c r="B87" s="173"/>
      <c r="C87" s="173"/>
      <c r="D87" s="173"/>
      <c r="E87" s="173"/>
      <c r="F87" s="173"/>
      <c r="G87" s="173"/>
      <c r="H87" s="173"/>
      <c r="I87" s="173"/>
      <c r="J87" s="173"/>
      <c r="K87" s="173"/>
      <c r="L87" s="173"/>
    </row>
    <row r="88" spans="1:12" ht="12.75">
      <c r="A88" s="173"/>
      <c r="B88" s="173"/>
      <c r="C88" s="173"/>
      <c r="D88" s="173"/>
      <c r="E88" s="173"/>
      <c r="F88" s="173"/>
      <c r="G88" s="173"/>
      <c r="H88" s="173"/>
      <c r="I88" s="173"/>
      <c r="J88" s="173"/>
      <c r="K88" s="173"/>
      <c r="L88" s="173"/>
    </row>
    <row r="89" spans="1:12" ht="12.75">
      <c r="A89" s="173"/>
      <c r="B89" s="173"/>
      <c r="C89" s="173"/>
      <c r="D89" s="173"/>
      <c r="E89" s="173"/>
      <c r="F89" s="173"/>
      <c r="G89" s="173"/>
      <c r="H89" s="173"/>
      <c r="I89" s="173"/>
      <c r="J89" s="173"/>
      <c r="K89" s="173"/>
      <c r="L89" s="173"/>
    </row>
    <row r="90" spans="1:12" ht="12.75">
      <c r="A90" s="173"/>
      <c r="B90" s="173"/>
      <c r="C90" s="173"/>
      <c r="D90" s="173"/>
      <c r="E90" s="173"/>
      <c r="F90" s="173"/>
      <c r="G90" s="173"/>
      <c r="H90" s="173"/>
      <c r="I90" s="173"/>
      <c r="J90" s="173"/>
      <c r="K90" s="173"/>
      <c r="L90" s="173"/>
    </row>
    <row r="91" spans="1:12" ht="12.75">
      <c r="A91" s="173"/>
      <c r="B91" s="173"/>
      <c r="C91" s="173"/>
      <c r="D91" s="173"/>
      <c r="E91" s="173"/>
      <c r="F91" s="173"/>
      <c r="G91" s="173"/>
      <c r="H91" s="173"/>
      <c r="I91" s="173"/>
      <c r="J91" s="173"/>
      <c r="K91" s="173"/>
      <c r="L91" s="173"/>
    </row>
    <row r="92" spans="1:12" ht="12.75">
      <c r="A92" s="173"/>
      <c r="B92" s="173"/>
      <c r="C92" s="173"/>
      <c r="D92" s="173"/>
      <c r="E92" s="173"/>
      <c r="F92" s="173"/>
      <c r="G92" s="173"/>
      <c r="H92" s="173"/>
      <c r="I92" s="173"/>
      <c r="J92" s="173"/>
      <c r="K92" s="173"/>
      <c r="L92" s="173"/>
    </row>
    <row r="93" spans="1:12" ht="12.75">
      <c r="A93" s="173"/>
      <c r="B93" s="173"/>
      <c r="C93" s="173"/>
      <c r="D93" s="173"/>
      <c r="E93" s="173"/>
      <c r="F93" s="173"/>
      <c r="G93" s="173"/>
      <c r="H93" s="173"/>
      <c r="I93" s="173"/>
      <c r="J93" s="173"/>
      <c r="K93" s="173"/>
      <c r="L93" s="173"/>
    </row>
    <row r="94" spans="1:12" ht="12.75">
      <c r="A94" s="173"/>
      <c r="B94" s="173"/>
      <c r="C94" s="173"/>
      <c r="D94" s="173"/>
      <c r="E94" s="173"/>
      <c r="F94" s="173"/>
      <c r="G94" s="173"/>
      <c r="H94" s="173"/>
      <c r="I94" s="173"/>
      <c r="J94" s="173"/>
      <c r="K94" s="173"/>
      <c r="L94" s="173"/>
    </row>
    <row r="95" spans="1:12" ht="12.75">
      <c r="A95" s="173"/>
      <c r="B95" s="173"/>
      <c r="C95" s="173"/>
      <c r="D95" s="173"/>
      <c r="E95" s="173"/>
      <c r="F95" s="173"/>
      <c r="G95" s="173"/>
      <c r="H95" s="173"/>
      <c r="I95" s="173"/>
      <c r="J95" s="173"/>
      <c r="K95" s="173"/>
      <c r="L95" s="173"/>
    </row>
    <row r="96" spans="1:12" ht="12.75">
      <c r="A96" s="173"/>
      <c r="B96" s="173"/>
      <c r="C96" s="173"/>
      <c r="D96" s="173"/>
      <c r="E96" s="173"/>
      <c r="F96" s="173"/>
      <c r="G96" s="173"/>
      <c r="H96" s="173"/>
      <c r="I96" s="173"/>
      <c r="J96" s="173"/>
      <c r="K96" s="173"/>
      <c r="L96" s="173"/>
    </row>
    <row r="97" spans="1:12" ht="12.75">
      <c r="A97" s="173"/>
      <c r="B97" s="173"/>
      <c r="C97" s="173"/>
      <c r="D97" s="173"/>
      <c r="E97" s="173"/>
      <c r="F97" s="173"/>
      <c r="G97" s="173"/>
      <c r="H97" s="173"/>
      <c r="I97" s="173"/>
      <c r="J97" s="173"/>
      <c r="K97" s="173"/>
      <c r="L97" s="173"/>
    </row>
  </sheetData>
  <sheetProtection password="CA27" sheet="1" objects="1" scenarios="1"/>
  <mergeCells count="27">
    <mergeCell ref="A21:B21"/>
    <mergeCell ref="A31:B31"/>
    <mergeCell ref="A40:B40"/>
    <mergeCell ref="C20:E20"/>
    <mergeCell ref="C30:E30"/>
    <mergeCell ref="A8:B8"/>
    <mergeCell ref="A9:B9"/>
    <mergeCell ref="A10:B10"/>
    <mergeCell ref="A11:B11"/>
    <mergeCell ref="A12:B12"/>
    <mergeCell ref="A13:B13"/>
    <mergeCell ref="A14:B14"/>
    <mergeCell ref="A15:B15"/>
    <mergeCell ref="F36:F37"/>
    <mergeCell ref="A24:A25"/>
    <mergeCell ref="A34:A35"/>
    <mergeCell ref="A43:A44"/>
    <mergeCell ref="E43:E44"/>
    <mergeCell ref="E24:E25"/>
    <mergeCell ref="F24:F25"/>
    <mergeCell ref="C24:C25"/>
    <mergeCell ref="D24:D25"/>
    <mergeCell ref="C43:C44"/>
    <mergeCell ref="D43:D44"/>
    <mergeCell ref="C34:C35"/>
    <mergeCell ref="D34:D35"/>
    <mergeCell ref="E34:E35"/>
  </mergeCells>
  <conditionalFormatting sqref="C15">
    <cfRule type="cellIs" priority="1" dxfId="1" operator="greaterThanOrEqual" stopIfTrue="1">
      <formula>6</formula>
    </cfRule>
    <cfRule type="cellIs" priority="2" dxfId="9" operator="between" stopIfTrue="1">
      <formula>5</formula>
      <formula>6</formula>
    </cfRule>
  </conditionalFormatting>
  <conditionalFormatting sqref="A16:C18">
    <cfRule type="expression" priority="3" dxfId="1" stopIfTrue="1">
      <formula>$C$15&gt;6</formula>
    </cfRule>
    <cfRule type="expression" priority="4" dxfId="4" stopIfTrue="1">
      <formula>$C$15&gt;5</formula>
    </cfRule>
  </conditionalFormatting>
  <dataValidations count="2">
    <dataValidation type="whole" allowBlank="1" showErrorMessage="1" errorTitle="Input Error" error="Please enter 1 for Yes (Present) or 0 for No (Absent)" sqref="C9:C12">
      <formula1>0</formula1>
      <formula2>1</formula2>
    </dataValidation>
    <dataValidation type="list" allowBlank="1" showDropDown="1" showErrorMessage="1" errorTitle="Input Error" error="Please enter 2 for Yes (Present) or 0 for No (Absent)" sqref="C13">
      <formula1>"0,2"</formula1>
    </dataValidation>
  </dataValidations>
  <hyperlinks>
    <hyperlink ref="H5" r:id="rId1" display="(www.acc.org/clinical/statements.htm)"/>
    <hyperlink ref="F1" location="'AF Stroke Risk'!C11" display="CHADS2"/>
    <hyperlink ref="G1" location="'AF Stroke Risk'!C22" display="SIGN"/>
  </hyperlinks>
  <printOptions/>
  <pageMargins left="0.7480314960629921" right="0.7480314960629921" top="0.3937007874015748" bottom="0.5905511811023623" header="0.5118110236220472" footer="0.52"/>
  <pageSetup fitToHeight="2" fitToWidth="1" horizontalDpi="600" verticalDpi="600" orientation="landscape" paperSize="9" scale="73" r:id="rId4"/>
  <rowBreaks count="1" manualBreakCount="1">
    <brk id="45" max="255" man="1"/>
  </rowBreaks>
  <drawing r:id="rId3"/>
  <legacyDrawing r:id="rId2"/>
</worksheet>
</file>

<file path=xl/worksheets/sheet2.xml><?xml version="1.0" encoding="utf-8"?>
<worksheet xmlns="http://schemas.openxmlformats.org/spreadsheetml/2006/main" xmlns:r="http://schemas.openxmlformats.org/officeDocument/2006/relationships">
  <sheetPr codeName="Sheet1"/>
  <dimension ref="A1:T105"/>
  <sheetViews>
    <sheetView showGridLines="0" zoomScaleSheetLayoutView="75" workbookViewId="0" topLeftCell="A1">
      <selection activeCell="C4" sqref="C4"/>
    </sheetView>
  </sheetViews>
  <sheetFormatPr defaultColWidth="9.00390625" defaultRowHeight="13.5"/>
  <cols>
    <col min="1" max="1" width="13.625" style="6" customWidth="1"/>
    <col min="2" max="2" width="32.25390625" style="6" customWidth="1"/>
    <col min="3" max="3" width="8.625" style="6" customWidth="1"/>
    <col min="4" max="4" width="8.75390625" style="6" customWidth="1"/>
    <col min="5" max="5" width="10.125" style="6" customWidth="1"/>
    <col min="6" max="9" width="8.75390625" style="6" customWidth="1"/>
    <col min="10" max="10" width="8.625" style="6" customWidth="1"/>
    <col min="11" max="11" width="3.75390625" style="6" customWidth="1"/>
    <col min="12" max="12" width="9.50390625" style="6" customWidth="1"/>
    <col min="13" max="13" width="8.75390625" style="6" customWidth="1"/>
    <col min="14" max="14" width="6.75390625" style="6" customWidth="1"/>
    <col min="15" max="23" width="9.75390625" style="6" customWidth="1"/>
    <col min="24" max="16384" width="8.75390625" style="6" customWidth="1"/>
  </cols>
  <sheetData>
    <row r="1" spans="1:14" ht="15.75">
      <c r="A1" s="438" t="s">
        <v>419</v>
      </c>
      <c r="B1" s="438"/>
      <c r="C1" s="438"/>
      <c r="D1" s="438"/>
      <c r="E1" s="438"/>
      <c r="F1" s="438"/>
      <c r="G1" s="438"/>
      <c r="H1" s="438"/>
      <c r="I1" s="438"/>
      <c r="J1" s="438"/>
      <c r="K1" s="438"/>
      <c r="L1" s="83"/>
      <c r="M1" s="44"/>
      <c r="N1" s="31"/>
    </row>
    <row r="2" spans="1:14" ht="19.5" customHeight="1">
      <c r="A2" s="377" t="s">
        <v>107</v>
      </c>
      <c r="B2" s="123"/>
      <c r="C2" s="123"/>
      <c r="D2" s="44"/>
      <c r="E2" s="44"/>
      <c r="F2" s="46"/>
      <c r="G2" s="44"/>
      <c r="H2" s="44"/>
      <c r="I2" s="44"/>
      <c r="J2" s="300" t="s">
        <v>376</v>
      </c>
      <c r="K2" s="44"/>
      <c r="L2" s="44"/>
      <c r="M2" s="44"/>
      <c r="N2" s="31"/>
    </row>
    <row r="3" spans="1:18" ht="14.25" customHeight="1" thickBot="1">
      <c r="A3" s="439"/>
      <c r="B3" s="439"/>
      <c r="C3" s="126"/>
      <c r="D3" s="125"/>
      <c r="E3" s="44"/>
      <c r="F3" s="440" t="s">
        <v>377</v>
      </c>
      <c r="G3" s="440"/>
      <c r="H3" s="440"/>
      <c r="I3" s="440"/>
      <c r="J3" s="124"/>
      <c r="K3" s="44"/>
      <c r="L3" s="45"/>
      <c r="M3" s="44"/>
      <c r="N3" s="31"/>
      <c r="O3" s="7"/>
      <c r="P3" s="8"/>
      <c r="Q3" s="8"/>
      <c r="R3" s="8"/>
    </row>
    <row r="4" spans="1:18" ht="12.75">
      <c r="A4" s="302" t="s">
        <v>2</v>
      </c>
      <c r="B4" s="303" t="s">
        <v>101</v>
      </c>
      <c r="C4" s="2">
        <v>55</v>
      </c>
      <c r="D4" s="49" t="s">
        <v>61</v>
      </c>
      <c r="E4" s="44"/>
      <c r="F4" s="2">
        <v>55</v>
      </c>
      <c r="G4" s="86"/>
      <c r="H4" s="44"/>
      <c r="I4" s="2">
        <v>55</v>
      </c>
      <c r="J4" s="86"/>
      <c r="K4" s="44"/>
      <c r="L4" s="45"/>
      <c r="M4" s="44"/>
      <c r="N4" s="31"/>
      <c r="O4" s="10"/>
      <c r="P4" s="10"/>
      <c r="Q4" s="11"/>
      <c r="R4" s="11"/>
    </row>
    <row r="5" spans="1:18" ht="12.75">
      <c r="A5" s="47" t="s">
        <v>3</v>
      </c>
      <c r="B5" s="48"/>
      <c r="C5" s="2">
        <v>5</v>
      </c>
      <c r="D5" s="49" t="s">
        <v>4</v>
      </c>
      <c r="E5" s="44"/>
      <c r="F5" s="3">
        <v>5</v>
      </c>
      <c r="G5" s="359">
        <f>(F5/C5)-1</f>
        <v>0</v>
      </c>
      <c r="H5" s="44"/>
      <c r="I5" s="2">
        <v>5</v>
      </c>
      <c r="J5" s="360">
        <f>(I5/F5)-1</f>
        <v>0</v>
      </c>
      <c r="K5" s="44"/>
      <c r="L5" s="45"/>
      <c r="M5" s="44"/>
      <c r="N5" s="31"/>
      <c r="O5" s="10"/>
      <c r="P5" s="10"/>
      <c r="Q5" s="11"/>
      <c r="R5" s="11"/>
    </row>
    <row r="6" spans="1:18" ht="12.75">
      <c r="A6" s="47" t="s">
        <v>103</v>
      </c>
      <c r="B6" s="134" t="s">
        <v>102</v>
      </c>
      <c r="C6" s="3">
        <v>1.1</v>
      </c>
      <c r="D6" s="49" t="s">
        <v>4</v>
      </c>
      <c r="E6" s="44"/>
      <c r="F6" s="3">
        <v>1.1</v>
      </c>
      <c r="G6" s="359">
        <f>(F6/C6)-1</f>
        <v>0</v>
      </c>
      <c r="H6" s="44"/>
      <c r="I6" s="3">
        <v>1.1</v>
      </c>
      <c r="J6" s="360">
        <f>(I6/F6)-1</f>
        <v>0</v>
      </c>
      <c r="K6" s="44"/>
      <c r="L6" s="45"/>
      <c r="M6" s="44"/>
      <c r="N6" s="31"/>
      <c r="O6" s="10"/>
      <c r="P6" s="10"/>
      <c r="Q6" s="11"/>
      <c r="R6" s="11"/>
    </row>
    <row r="7" spans="1:18" ht="12.75">
      <c r="A7" s="47" t="s">
        <v>6</v>
      </c>
      <c r="B7" s="48"/>
      <c r="C7" s="3">
        <v>140</v>
      </c>
      <c r="D7" s="49" t="s">
        <v>5</v>
      </c>
      <c r="E7" s="44"/>
      <c r="F7" s="3">
        <v>140</v>
      </c>
      <c r="G7" s="359">
        <f>(F7/C7)-1</f>
        <v>0</v>
      </c>
      <c r="H7" s="44"/>
      <c r="I7" s="3">
        <v>140</v>
      </c>
      <c r="J7" s="360">
        <f>(I7/F7)-1</f>
        <v>0</v>
      </c>
      <c r="K7" s="44"/>
      <c r="L7" s="45"/>
      <c r="M7" s="44"/>
      <c r="N7" s="31"/>
      <c r="O7" s="10"/>
      <c r="P7" s="10"/>
      <c r="Q7" s="11"/>
      <c r="R7" s="11"/>
    </row>
    <row r="8" spans="1:18" ht="12.75">
      <c r="A8" s="47" t="s">
        <v>18</v>
      </c>
      <c r="B8" s="48"/>
      <c r="C8" s="3">
        <v>0</v>
      </c>
      <c r="D8" s="49" t="s">
        <v>16</v>
      </c>
      <c r="E8" s="44"/>
      <c r="F8" s="3">
        <v>0</v>
      </c>
      <c r="G8" s="44"/>
      <c r="H8" s="44"/>
      <c r="I8" s="3">
        <v>0</v>
      </c>
      <c r="J8" s="44"/>
      <c r="K8" s="44"/>
      <c r="L8" s="45"/>
      <c r="M8" s="44"/>
      <c r="N8" s="31"/>
      <c r="O8" s="10"/>
      <c r="P8" s="10"/>
      <c r="Q8" s="11"/>
      <c r="R8" s="11"/>
    </row>
    <row r="9" spans="1:18" ht="12.75">
      <c r="A9" s="47" t="s">
        <v>19</v>
      </c>
      <c r="B9" s="48"/>
      <c r="C9" s="3">
        <v>0</v>
      </c>
      <c r="D9" s="49" t="s">
        <v>16</v>
      </c>
      <c r="E9" s="44"/>
      <c r="F9" s="3">
        <v>0</v>
      </c>
      <c r="G9" s="44"/>
      <c r="H9" s="44"/>
      <c r="I9" s="3">
        <v>0</v>
      </c>
      <c r="J9" s="44"/>
      <c r="K9" s="44"/>
      <c r="L9" s="45"/>
      <c r="M9" s="44"/>
      <c r="N9" s="31"/>
      <c r="O9" s="12"/>
      <c r="P9" s="10"/>
      <c r="Q9" s="11"/>
      <c r="R9" s="11"/>
    </row>
    <row r="10" spans="1:18" ht="12.75">
      <c r="A10" s="47" t="s">
        <v>20</v>
      </c>
      <c r="B10" s="48"/>
      <c r="C10" s="3">
        <v>0</v>
      </c>
      <c r="D10" s="49" t="s">
        <v>16</v>
      </c>
      <c r="E10" s="44"/>
      <c r="F10" s="3">
        <v>0</v>
      </c>
      <c r="G10" s="44"/>
      <c r="H10" s="44"/>
      <c r="I10" s="3">
        <v>0</v>
      </c>
      <c r="J10" s="44"/>
      <c r="K10" s="44"/>
      <c r="L10" s="45"/>
      <c r="M10" s="44"/>
      <c r="N10" s="31"/>
      <c r="O10" s="10"/>
      <c r="P10" s="10"/>
      <c r="Q10" s="11"/>
      <c r="R10" s="11"/>
    </row>
    <row r="11" spans="1:18" ht="12.75">
      <c r="A11" s="47" t="s">
        <v>21</v>
      </c>
      <c r="B11" s="48"/>
      <c r="C11" s="3">
        <v>0</v>
      </c>
      <c r="D11" s="49" t="s">
        <v>16</v>
      </c>
      <c r="E11" s="44"/>
      <c r="F11" s="3">
        <v>0</v>
      </c>
      <c r="G11" s="44"/>
      <c r="H11" s="44"/>
      <c r="I11" s="3">
        <v>0</v>
      </c>
      <c r="J11" s="44"/>
      <c r="K11" s="44"/>
      <c r="L11" s="45"/>
      <c r="M11" s="44"/>
      <c r="N11" s="31"/>
      <c r="O11" s="10"/>
      <c r="P11" s="10"/>
      <c r="Q11" s="11"/>
      <c r="R11" s="11"/>
    </row>
    <row r="12" spans="1:18" ht="12.75">
      <c r="A12" s="47" t="s">
        <v>23</v>
      </c>
      <c r="B12" s="48"/>
      <c r="C12" s="3">
        <v>0</v>
      </c>
      <c r="D12" s="49" t="s">
        <v>16</v>
      </c>
      <c r="E12" s="44"/>
      <c r="F12" s="3">
        <v>0</v>
      </c>
      <c r="G12" s="44"/>
      <c r="H12" s="44"/>
      <c r="I12" s="3">
        <v>0</v>
      </c>
      <c r="J12" s="44"/>
      <c r="K12" s="44"/>
      <c r="L12" s="45"/>
      <c r="M12" s="44"/>
      <c r="N12" s="31"/>
      <c r="O12" s="10"/>
      <c r="P12" s="10"/>
      <c r="Q12" s="11"/>
      <c r="R12" s="11"/>
    </row>
    <row r="13" spans="1:18" ht="13.5" thickBot="1">
      <c r="A13" s="50" t="s">
        <v>104</v>
      </c>
      <c r="B13" s="135" t="s">
        <v>105</v>
      </c>
      <c r="C13" s="4">
        <v>0</v>
      </c>
      <c r="D13" s="49" t="s">
        <v>16</v>
      </c>
      <c r="E13" s="44"/>
      <c r="F13" s="4">
        <v>0</v>
      </c>
      <c r="G13" s="44"/>
      <c r="H13" s="44"/>
      <c r="I13" s="4">
        <v>0</v>
      </c>
      <c r="J13" s="44"/>
      <c r="K13" s="44"/>
      <c r="L13" s="45"/>
      <c r="M13" s="44"/>
      <c r="N13" s="31"/>
      <c r="P13" s="10"/>
      <c r="Q13" s="11"/>
      <c r="R13" s="11"/>
    </row>
    <row r="14" spans="1:18" ht="3.75" customHeight="1">
      <c r="A14" s="44"/>
      <c r="B14" s="44"/>
      <c r="C14" s="51"/>
      <c r="D14" s="52"/>
      <c r="E14" s="44"/>
      <c r="F14" s="51"/>
      <c r="G14" s="44"/>
      <c r="H14" s="52"/>
      <c r="I14" s="51"/>
      <c r="J14" s="53"/>
      <c r="K14" s="44"/>
      <c r="L14" s="45"/>
      <c r="M14" s="44"/>
      <c r="N14" s="31"/>
      <c r="P14" s="10"/>
      <c r="Q14" s="11"/>
      <c r="R14" s="11"/>
    </row>
    <row r="15" spans="1:14" ht="13.5" thickBot="1">
      <c r="A15" s="44"/>
      <c r="B15" s="44"/>
      <c r="C15" s="54" t="s">
        <v>0</v>
      </c>
      <c r="D15" s="54" t="s">
        <v>1</v>
      </c>
      <c r="E15" s="44"/>
      <c r="F15" s="54" t="s">
        <v>0</v>
      </c>
      <c r="G15" s="54" t="s">
        <v>1</v>
      </c>
      <c r="H15" s="44"/>
      <c r="I15" s="54" t="s">
        <v>0</v>
      </c>
      <c r="J15" s="54" t="s">
        <v>1</v>
      </c>
      <c r="K15" s="44"/>
      <c r="L15" s="45"/>
      <c r="M15" s="44"/>
      <c r="N15" s="31"/>
    </row>
    <row r="16" spans="1:14" ht="13.5" thickBot="1">
      <c r="A16" s="312" t="s">
        <v>14</v>
      </c>
      <c r="B16" s="313"/>
      <c r="C16" s="306">
        <f>1-EXP(-EXP((LN(10)-(4.4181+(11.1122-0.9119*LN(SBP)-0.2767*(Smoker)-0.7181*LN(TC/HDL)-0.5865*(LVH)-1.4792*LN(Age)-0.1759*(Diabetes))))/(EXP(-0.3155-0.2784*(11.1122-0.9119*LN(SBP)-0.2767*(Smoker)-0.7181*LN(TC/HDL)-0.5865*(LVH)-1.4792*LN(Age)-0.1759*(Diabetes))))))</f>
        <v>0.11659489771316789</v>
      </c>
      <c r="D16" s="306">
        <f>1-EXP(-EXP((LN(10)-(4.4181+(11.1122-0.9119*LN(SBP)-0.2767*(Smoker)-0.7181*LN(TC/HDL)-0.5865*(LVH)-5.8549+1.8515*((LN(Age/74))^2)-0.3758*(Diabetes))))/(EXP(-0.3155-0.2784*(11.1122-0.9119*LN(SBP)-0.2767*(Smoker)-0.7181*LN(TC/HDL)-0.5865*(LVH)-5.8549+1.8515*((LN(Age/74))^2)-0.3758*(Diabetes))))))</f>
        <v>0.07603035129123492</v>
      </c>
      <c r="E16" s="56"/>
      <c r="F16" s="306">
        <f>1-EXP(-EXP((LN(10)-(4.4181+(11.1122-0.9119*LN($F$7)-0.2767*($F$10)-0.7181*LN($F$5/$F$6)-0.5865*($F$13)-1.4792*LN($F$4)-0.1759*($F$11))))/(EXP(-0.3155-0.2784*(11.1122-0.9119*LN($F$7)-0.2767*($F$10)-0.7181*LN($F$5/$F$6)-0.5865*($F$13)-1.4792*LN($F$4)-0.1759*($F$11))))))</f>
        <v>0.11659489771316789</v>
      </c>
      <c r="G16" s="311">
        <f>1-EXP(-EXP((LN(10)-(4.4181+(11.1122-0.9119*LN($F$7)-0.2767*($F$10)-0.7181*LN($F$5/$F$6)-0.5865*($F$13)-5.8549+1.8515*((LN($F$4/74))^2)-0.3758*($F$11))))/(EXP(-0.3155-0.2784*(11.1122-0.9119*LN($F$7)-0.2767*($F$10)-0.7181*LN($F$5/$F$6)-0.5865*($F$13)-5.8549+1.8515*((LN($F$4/74))^2)-0.3758*($F$11))))))</f>
        <v>0.07603035129123492</v>
      </c>
      <c r="H16" s="44"/>
      <c r="I16" s="306">
        <f>1-EXP(-EXP((LN(10)-(4.4181+(11.1122-0.9119*LN($I$7)-0.2767*($I$10)-0.7181*LN($I$5/$I$6)-0.5865*($I$13)-1.4792*LN($I$4)-0.1759*($I$11))))/(EXP(-0.3155-0.2784*(11.1122-0.9119*LN($I$7)-0.2767*($I$10)-0.7181*LN($I$5/$I$6)-0.5865*($I$13)-1.4792*LN($I$4)-0.1759*($I$11))))))</f>
        <v>0.11659489771316789</v>
      </c>
      <c r="J16" s="311">
        <f>1-EXP(-EXP((LN(10)-(4.4181+(11.1122-0.9119*LN(I7)-0.2767*(I10)-0.7181*LN(I5/I6)-0.5865*(I13)-5.8549+1.8515*((LN(I4/74))^2)-0.3758*(I11))))/(EXP(-0.3155-0.2784*(11.1122-0.9119*LN(I7)-0.2767*(I10)-0.7181*LN(I5/I6)-0.5865*(I13)-5.8549+1.8515*((LN(I4/74))^2)-0.3758*(I11))))))</f>
        <v>0.07603035129123492</v>
      </c>
      <c r="K16" s="44"/>
      <c r="L16" s="45"/>
      <c r="M16" s="44"/>
      <c r="N16" s="31"/>
    </row>
    <row r="17" spans="1:14" ht="12.75">
      <c r="A17" s="304" t="s">
        <v>15</v>
      </c>
      <c r="B17" s="305"/>
      <c r="C17" s="307">
        <f>VLOOKUP(Age,PredCHD,2)</f>
        <v>0.16</v>
      </c>
      <c r="D17" s="307">
        <f>VLOOKUP($C$4,$D$54:$H$63,4)</f>
        <v>0.12</v>
      </c>
      <c r="E17" s="44"/>
      <c r="F17" s="307">
        <f>VLOOKUP($F$4,$D$54:$H$63,2)</f>
        <v>0.16</v>
      </c>
      <c r="G17" s="307">
        <f>VLOOKUP($F$4,$D$54:$H$63,4)</f>
        <v>0.12</v>
      </c>
      <c r="H17" s="44"/>
      <c r="I17" s="307">
        <f>VLOOKUP($I$4,$D$54:$H$63,2)</f>
        <v>0.16</v>
      </c>
      <c r="J17" s="307">
        <f>VLOOKUP(I4,$D$54:$H$63,4)</f>
        <v>0.12</v>
      </c>
      <c r="K17" s="44"/>
      <c r="L17" s="45"/>
      <c r="M17" s="44"/>
      <c r="N17" s="31"/>
    </row>
    <row r="18" spans="1:14" ht="12.75">
      <c r="A18" s="57" t="s">
        <v>33</v>
      </c>
      <c r="B18" s="55"/>
      <c r="C18" s="308">
        <f>VLOOKUP(Age,PredCHD,3)</f>
        <v>0.06</v>
      </c>
      <c r="D18" s="308">
        <f>VLOOKUP($C$4,$D$54:$H$63,5)</f>
        <v>0.04</v>
      </c>
      <c r="E18" s="44"/>
      <c r="F18" s="308">
        <f>VLOOKUP($C$4,$D$54:$H$63,3)</f>
        <v>0.06</v>
      </c>
      <c r="G18" s="308">
        <f>VLOOKUP($F$4,$D$54:$H$63,5)</f>
        <v>0.04</v>
      </c>
      <c r="H18" s="44"/>
      <c r="I18" s="308">
        <f>VLOOKUP($C$4,$D$54:$H$63,3)</f>
        <v>0.06</v>
      </c>
      <c r="J18" s="308">
        <f>VLOOKUP(I4,$D$54:$H$63,5)</f>
        <v>0.04</v>
      </c>
      <c r="K18" s="44"/>
      <c r="L18" s="45"/>
      <c r="M18" s="44"/>
      <c r="N18" s="31"/>
    </row>
    <row r="19" spans="1:14" ht="12.75">
      <c r="A19" s="57" t="s">
        <v>25</v>
      </c>
      <c r="B19" s="55"/>
      <c r="C19" s="309">
        <f>CalcCHDM/AvgCHDM</f>
        <v>0.7287181107072993</v>
      </c>
      <c r="D19" s="309">
        <f>CalcCHDF/AvgCHDF</f>
        <v>0.633586260760291</v>
      </c>
      <c r="E19" s="44"/>
      <c r="F19" s="309">
        <f>$F$16/$F$17</f>
        <v>0.7287181107072993</v>
      </c>
      <c r="G19" s="309">
        <f>G16/G17</f>
        <v>0.633586260760291</v>
      </c>
      <c r="H19" s="44"/>
      <c r="I19" s="309">
        <f>I16/I17</f>
        <v>0.7287181107072993</v>
      </c>
      <c r="J19" s="309">
        <f>J16/J17</f>
        <v>0.633586260760291</v>
      </c>
      <c r="K19" s="44"/>
      <c r="L19" s="45"/>
      <c r="M19" s="44"/>
      <c r="N19" s="31"/>
    </row>
    <row r="20" spans="1:14" ht="12.75">
      <c r="A20" s="57" t="s">
        <v>24</v>
      </c>
      <c r="B20" s="55"/>
      <c r="C20" s="309">
        <f>CalcCHDM/IdealCHDM</f>
        <v>1.943248295219465</v>
      </c>
      <c r="D20" s="309">
        <f>CalcCHDF/IdealCHDF</f>
        <v>1.900758782280873</v>
      </c>
      <c r="E20" s="44"/>
      <c r="F20" s="309">
        <f>$F$16/$F$18</f>
        <v>1.943248295219465</v>
      </c>
      <c r="G20" s="309">
        <f>$G$16/$G$18</f>
        <v>1.900758782280873</v>
      </c>
      <c r="H20" s="44"/>
      <c r="I20" s="309">
        <f>I16/I18</f>
        <v>1.943248295219465</v>
      </c>
      <c r="J20" s="309">
        <f>J16/J18</f>
        <v>1.900758782280873</v>
      </c>
      <c r="K20" s="44"/>
      <c r="L20" s="45"/>
      <c r="M20" s="44"/>
      <c r="N20" s="31"/>
    </row>
    <row r="21" spans="1:14" ht="12.75">
      <c r="A21" s="58" t="s">
        <v>32</v>
      </c>
      <c r="B21" s="59"/>
      <c r="C21" s="60"/>
      <c r="D21" s="60"/>
      <c r="E21" s="44"/>
      <c r="F21" s="308">
        <f>($F$16/$C$16)-1</f>
        <v>0</v>
      </c>
      <c r="G21" s="308">
        <f>($G$16/$D$16)-1</f>
        <v>0</v>
      </c>
      <c r="H21" s="44"/>
      <c r="I21" s="308">
        <f>(I16/F16)-1</f>
        <v>0</v>
      </c>
      <c r="J21" s="308">
        <f>(J16/G16)-1</f>
        <v>0</v>
      </c>
      <c r="K21" s="44"/>
      <c r="L21" s="45"/>
      <c r="M21" s="44"/>
      <c r="N21" s="31"/>
    </row>
    <row r="22" spans="1:14" ht="3" customHeight="1" thickBot="1">
      <c r="A22" s="62"/>
      <c r="B22" s="44"/>
      <c r="C22" s="61"/>
      <c r="D22" s="61"/>
      <c r="E22" s="44"/>
      <c r="F22" s="60"/>
      <c r="G22" s="60"/>
      <c r="H22" s="44"/>
      <c r="I22" s="60"/>
      <c r="J22" s="60"/>
      <c r="K22" s="44"/>
      <c r="L22" s="45"/>
      <c r="M22" s="44"/>
      <c r="N22" s="31"/>
    </row>
    <row r="23" spans="1:14" ht="13.5" thickBot="1">
      <c r="A23" s="312" t="s">
        <v>13</v>
      </c>
      <c r="B23" s="313"/>
      <c r="C23" s="310">
        <f>1-0.9044^(EXP(0.0505*(Age)+0.014*(SBP)+0.3263*(BPRx)+0.3384*(Diabetes)+0.5147*(Smoker)+0.5195*(CHDCHFPVD)+0.6061*(AF)+0.8415*(LVH)-5.677))</f>
        <v>0.0385101764155813</v>
      </c>
      <c r="D23" s="306">
        <f>1-0.9353^(EXP(0.0657*(Age)+0.0197*(SBP)+2.5432*(BPRx)+0.5442*(Diabetes)+0.5294*(Smoker)+0.4326*(CHDCHFPVD)+1.1497*(AF)+0.8488*(LVH)-0.0134*(BPRx*SBP)-7.5766))</f>
        <v>0.019844236562866047</v>
      </c>
      <c r="E23" s="44"/>
      <c r="F23" s="306">
        <f>1-0.9044^(EXP(0.0505*($F$4)+0.014*($F$7)+0.3263*($F$9)+0.3384*($F$11)+0.5147*($F$10)+0.5195*($F$12)+0.6061*($F$8)+0.8415*($F$13)-5.677))</f>
        <v>0.0385101764155813</v>
      </c>
      <c r="G23" s="311">
        <f>1-0.9353^(EXP(0.0657*($F$4)+0.0197*($F$7)+2.5432*($F$9)+0.5442*($F$11)+0.5294*($F$10)+0.4326*($F$12)+1.1497*($F$8)+0.8488*($F$13)-0.0134*($F$9*$F$7)-7.5766))</f>
        <v>0.019844236562866047</v>
      </c>
      <c r="H23" s="44"/>
      <c r="I23" s="306">
        <f>1-0.9044^(EXP(0.0505*($I$4)+0.014*($I$7)+0.3263*($I$9)+0.3384*($I$11)+0.5147*($I$10)+0.5195*($I$12)+0.6061*($I$8)+0.8415*($I$13)-5.677))</f>
        <v>0.0385101764155813</v>
      </c>
      <c r="J23" s="311">
        <f>1-0.9353^(EXP(0.0657*($I$4)+0.0197*($I$7)+2.5432*($I$9)+0.5442*($I$11)+0.5294*($I$10)+0.4326*($I$12)+1.1497*($I$8)+0.8488*($I$13)-0.0134*($I$9*$I$7)-7.5766))</f>
        <v>0.019844236562866047</v>
      </c>
      <c r="K23" s="44"/>
      <c r="L23" s="45"/>
      <c r="M23" s="44"/>
      <c r="N23" s="31"/>
    </row>
    <row r="24" spans="1:14" ht="12.75">
      <c r="A24" s="304" t="s">
        <v>17</v>
      </c>
      <c r="B24" s="305"/>
      <c r="C24" s="307">
        <f>VLOOKUP($C$4,$D$67:$F$72,2)</f>
        <v>0.059000000000000004</v>
      </c>
      <c r="D24" s="307">
        <f>VLOOKUP($C$4,$D$67:$F$72,3)</f>
        <v>0.03</v>
      </c>
      <c r="E24" s="44"/>
      <c r="F24" s="307">
        <f>VLOOKUP($F$4,$D67:$F72,2)</f>
        <v>0.059000000000000004</v>
      </c>
      <c r="G24" s="307">
        <f>VLOOKUP($F$4,$D$67:$F$72,3)</f>
        <v>0.03</v>
      </c>
      <c r="H24" s="44"/>
      <c r="I24" s="307">
        <f>VLOOKUP($I$4,$D67:$F72,2)</f>
        <v>0.059000000000000004</v>
      </c>
      <c r="J24" s="307">
        <f>VLOOKUP($I$4,$D$67:$F$72,3)</f>
        <v>0.03</v>
      </c>
      <c r="K24" s="44"/>
      <c r="L24" s="45"/>
      <c r="M24" s="44"/>
      <c r="N24" s="31"/>
    </row>
    <row r="25" spans="1:14" ht="12.75">
      <c r="A25" s="57" t="s">
        <v>26</v>
      </c>
      <c r="B25" s="55"/>
      <c r="C25" s="309">
        <f>CalcCVAM/AvgCVAM</f>
        <v>0.6527148545013779</v>
      </c>
      <c r="D25" s="309">
        <f>CalcCVAF/AvgCVAF</f>
        <v>0.661474552095535</v>
      </c>
      <c r="E25" s="44"/>
      <c r="F25" s="309">
        <f>$F$23/$F$24</f>
        <v>0.6527148545013779</v>
      </c>
      <c r="G25" s="309">
        <f>$G$23/$G$24</f>
        <v>0.661474552095535</v>
      </c>
      <c r="H25" s="44"/>
      <c r="I25" s="309">
        <f>$I$23/$I$24</f>
        <v>0.6527148545013779</v>
      </c>
      <c r="J25" s="309">
        <f>J23/J24</f>
        <v>0.661474552095535</v>
      </c>
      <c r="K25" s="44"/>
      <c r="L25" s="45"/>
      <c r="M25" s="44"/>
      <c r="N25" s="31"/>
    </row>
    <row r="26" spans="1:14" ht="12.75">
      <c r="A26" s="58" t="s">
        <v>34</v>
      </c>
      <c r="B26" s="59"/>
      <c r="C26" s="60"/>
      <c r="D26" s="60"/>
      <c r="E26" s="44"/>
      <c r="F26" s="308">
        <f>($F$23/$C$23)-1</f>
        <v>0</v>
      </c>
      <c r="G26" s="308">
        <f>($G$23/$D$23)-1</f>
        <v>0</v>
      </c>
      <c r="H26" s="44"/>
      <c r="I26" s="308">
        <f>($I$23/$F$23)-1</f>
        <v>0</v>
      </c>
      <c r="J26" s="308">
        <f>($J$23/$G$23)-1</f>
        <v>0</v>
      </c>
      <c r="K26" s="44"/>
      <c r="L26" s="45"/>
      <c r="M26" s="44"/>
      <c r="N26" s="31"/>
    </row>
    <row r="27" spans="1:14" ht="3" customHeight="1" thickBot="1">
      <c r="A27" s="62"/>
      <c r="B27" s="44"/>
      <c r="C27" s="61"/>
      <c r="D27" s="61"/>
      <c r="E27" s="44"/>
      <c r="F27" s="44"/>
      <c r="G27" s="44"/>
      <c r="H27" s="44"/>
      <c r="I27" s="44"/>
      <c r="J27" s="44"/>
      <c r="K27" s="44"/>
      <c r="L27" s="45"/>
      <c r="M27" s="44"/>
      <c r="N27" s="31"/>
    </row>
    <row r="28" spans="1:14" ht="13.5" thickBot="1">
      <c r="A28" s="314" t="s">
        <v>112</v>
      </c>
      <c r="B28" s="315"/>
      <c r="C28" s="306">
        <f>IF(CalcCHDM+CalcCVAM&gt;1,1,CalcCHDM+CalcCVAM)</f>
        <v>0.1551050741287492</v>
      </c>
      <c r="D28" s="311">
        <f>IF(CalcCHDF+CalcCVAF&gt;1,1,CalcCHDF+CalcCVAF)</f>
        <v>0.09587458785410097</v>
      </c>
      <c r="E28" s="44"/>
      <c r="F28" s="306">
        <f>F16+F23</f>
        <v>0.1551050741287492</v>
      </c>
      <c r="G28" s="311">
        <f>G16+G23</f>
        <v>0.09587458785410097</v>
      </c>
      <c r="H28" s="44"/>
      <c r="I28" s="306">
        <f>I16+I23</f>
        <v>0.1551050741287492</v>
      </c>
      <c r="J28" s="311">
        <f>J16+J23</f>
        <v>0.09587458785410097</v>
      </c>
      <c r="K28" s="44"/>
      <c r="L28" s="45"/>
      <c r="M28" s="44"/>
      <c r="N28" s="31"/>
    </row>
    <row r="29" spans="1:14" ht="9" customHeight="1">
      <c r="A29" s="62"/>
      <c r="B29" s="44"/>
      <c r="C29" s="61"/>
      <c r="D29" s="61"/>
      <c r="E29" s="44"/>
      <c r="F29" s="63"/>
      <c r="G29" s="63"/>
      <c r="H29" s="44"/>
      <c r="I29" s="63"/>
      <c r="J29" s="63"/>
      <c r="K29" s="44"/>
      <c r="L29" s="45"/>
      <c r="M29" s="44"/>
      <c r="N29" s="31"/>
    </row>
    <row r="30" spans="1:14" ht="12.75" customHeight="1">
      <c r="A30" s="80"/>
      <c r="B30" s="64" t="s">
        <v>60</v>
      </c>
      <c r="C30" s="448">
        <f>IF(TC&gt;7.5,"Consider Familial Hypercholesterolaemia (FH) and Rx Statin",IF(TC&gt;5,"Rx Statin if CHD Risk &gt;15-30%  (Target TC&lt;5, LDL&lt;3)",""))</f>
      </c>
      <c r="D30" s="449"/>
      <c r="E30" s="449"/>
      <c r="F30" s="449"/>
      <c r="G30" s="450"/>
      <c r="H30" s="65"/>
      <c r="I30" s="63"/>
      <c r="J30" s="63"/>
      <c r="K30" s="44"/>
      <c r="L30" s="45"/>
      <c r="M30" s="44"/>
      <c r="N30" s="31"/>
    </row>
    <row r="31" spans="1:14" ht="12.75">
      <c r="A31" s="81" t="s">
        <v>96</v>
      </c>
      <c r="B31" s="64" t="s">
        <v>57</v>
      </c>
      <c r="C31" s="448">
        <f>IF((HDL&lt;0.9)+($F$6&lt;0.9)+($I$6&lt;0.9),"Low HDL (&lt;0.9) increases the risk of atheromatous disease","")</f>
      </c>
      <c r="D31" s="449"/>
      <c r="E31" s="449"/>
      <c r="F31" s="449"/>
      <c r="G31" s="450"/>
      <c r="H31" s="65"/>
      <c r="I31" s="63"/>
      <c r="J31" s="63"/>
      <c r="K31" s="44"/>
      <c r="L31" s="45"/>
      <c r="M31" s="44"/>
      <c r="N31" s="31"/>
    </row>
    <row r="32" spans="1:14" ht="12.75">
      <c r="A32" s="81" t="s">
        <v>95</v>
      </c>
      <c r="B32" s="66" t="s">
        <v>58</v>
      </c>
      <c r="C32" s="448">
        <f>IF((SBP&gt;140),IF((SBP&gt;159),"Rx Hypertension: Target BP&lt;140/90","Rx Hypertension if CHD risk&gt;15% or Target Organ Damage"),"")</f>
      </c>
      <c r="D32" s="449"/>
      <c r="E32" s="449"/>
      <c r="F32" s="449"/>
      <c r="G32" s="450"/>
      <c r="H32" s="65"/>
      <c r="I32" s="63"/>
      <c r="J32" s="63"/>
      <c r="K32" s="44"/>
      <c r="L32" s="45"/>
      <c r="M32" s="44"/>
      <c r="N32" s="31"/>
    </row>
    <row r="33" spans="1:14" ht="12.75">
      <c r="A33" s="81" t="s">
        <v>94</v>
      </c>
      <c r="B33" s="64" t="s">
        <v>106</v>
      </c>
      <c r="C33" s="448">
        <f>IF(AF,IF(($C$23&gt;0.599),"Consider Rx Warfarin as annual stroke risk =&gt;6%",IF(($C$24&gt;0.599),"Consider Rx Warfarin as annual stroke risk =&gt;6%",IF((Age&gt;65)*($C$9+$C$10+$C$11+$C$12+$C$13+($C$5&gt;5)),"Consider Rx Warfarin in view of additional risk factor(s)",IF($C$4&gt;65,"Rx Aspirin (Warfarin not indicated)","")))),"")</f>
      </c>
      <c r="D33" s="449"/>
      <c r="E33" s="449"/>
      <c r="F33" s="449"/>
      <c r="G33" s="450"/>
      <c r="H33" s="65"/>
      <c r="I33" s="63"/>
      <c r="J33" s="63"/>
      <c r="K33" s="44"/>
      <c r="L33" s="45"/>
      <c r="M33" s="44"/>
      <c r="N33" s="31"/>
    </row>
    <row r="34" spans="1:14" ht="12.75">
      <c r="A34" s="82"/>
      <c r="B34" s="64" t="s">
        <v>59</v>
      </c>
      <c r="C34" s="451">
        <f>IF($C$12=1,IF($C$5&gt;7.5,"Calculations invalid if patient has FH or CHD","Calculations invalid if patient has CHD"),IF($C$5&gt;7.5,"Calculations invalid if patient has FH",""))</f>
      </c>
      <c r="D34" s="436"/>
      <c r="E34" s="436"/>
      <c r="F34" s="436"/>
      <c r="G34" s="437"/>
      <c r="H34" s="65"/>
      <c r="I34" s="63"/>
      <c r="J34" s="63"/>
      <c r="K34" s="44"/>
      <c r="L34" s="45"/>
      <c r="M34" s="44"/>
      <c r="N34" s="31"/>
    </row>
    <row r="35" spans="1:14" ht="9" customHeight="1">
      <c r="A35" s="62"/>
      <c r="B35" s="44"/>
      <c r="C35" s="61"/>
      <c r="D35" s="61"/>
      <c r="E35" s="44"/>
      <c r="F35" s="63"/>
      <c r="G35" s="63"/>
      <c r="H35" s="44"/>
      <c r="I35" s="63"/>
      <c r="J35" s="63"/>
      <c r="K35" s="44"/>
      <c r="L35" s="45"/>
      <c r="M35" s="44"/>
      <c r="N35" s="31"/>
    </row>
    <row r="36" spans="1:14" ht="12.75">
      <c r="A36" s="67" t="s">
        <v>378</v>
      </c>
      <c r="B36" s="44"/>
      <c r="C36" s="44"/>
      <c r="D36" s="44"/>
      <c r="E36" s="44"/>
      <c r="F36" s="44"/>
      <c r="G36" s="44"/>
      <c r="H36" s="44"/>
      <c r="I36" s="44"/>
      <c r="J36" s="44"/>
      <c r="K36" s="44"/>
      <c r="L36" s="45"/>
      <c r="M36" s="44"/>
      <c r="N36" s="31"/>
    </row>
    <row r="37" spans="1:14" ht="12.75">
      <c r="A37" s="67" t="s">
        <v>98</v>
      </c>
      <c r="B37" s="44"/>
      <c r="C37" s="44"/>
      <c r="D37" s="44"/>
      <c r="E37" s="44"/>
      <c r="F37" s="44"/>
      <c r="G37" s="44"/>
      <c r="H37" s="44"/>
      <c r="I37" s="44"/>
      <c r="J37" s="44"/>
      <c r="K37" s="44"/>
      <c r="L37" s="45"/>
      <c r="M37" s="44"/>
      <c r="N37" s="31"/>
    </row>
    <row r="38" spans="1:14" ht="12.75">
      <c r="A38" s="67" t="s">
        <v>113</v>
      </c>
      <c r="B38" s="44"/>
      <c r="C38" s="44"/>
      <c r="D38" s="44"/>
      <c r="E38" s="44"/>
      <c r="F38" s="44"/>
      <c r="G38" s="44"/>
      <c r="H38" s="44"/>
      <c r="I38" s="44"/>
      <c r="J38" s="44"/>
      <c r="K38" s="44"/>
      <c r="L38" s="45"/>
      <c r="M38" s="44"/>
      <c r="N38" s="31"/>
    </row>
    <row r="39" spans="1:14" ht="12.75">
      <c r="A39" s="67" t="s">
        <v>108</v>
      </c>
      <c r="B39" s="44"/>
      <c r="C39" s="44"/>
      <c r="D39" s="44"/>
      <c r="E39" s="44"/>
      <c r="F39" s="44"/>
      <c r="G39" s="44"/>
      <c r="H39" s="44"/>
      <c r="I39" s="44"/>
      <c r="J39" s="44"/>
      <c r="K39" s="44"/>
      <c r="L39" s="45"/>
      <c r="M39" s="44"/>
      <c r="N39" s="31"/>
    </row>
    <row r="40" spans="1:14" ht="12.75">
      <c r="A40" s="67" t="s">
        <v>31</v>
      </c>
      <c r="B40" s="44"/>
      <c r="C40" s="44"/>
      <c r="D40" s="44"/>
      <c r="E40" s="44"/>
      <c r="F40" s="44"/>
      <c r="G40" s="44"/>
      <c r="H40" s="44"/>
      <c r="I40" s="44"/>
      <c r="J40" s="44"/>
      <c r="K40" s="44"/>
      <c r="L40" s="45"/>
      <c r="M40" s="44"/>
      <c r="N40" s="31"/>
    </row>
    <row r="41" spans="1:14" ht="12.75">
      <c r="A41" s="68" t="s">
        <v>109</v>
      </c>
      <c r="B41" s="44"/>
      <c r="C41" s="44"/>
      <c r="D41" s="44"/>
      <c r="E41" s="44"/>
      <c r="F41" s="44"/>
      <c r="G41" s="44"/>
      <c r="H41" s="44"/>
      <c r="I41" s="44"/>
      <c r="J41" s="44"/>
      <c r="K41" s="44"/>
      <c r="L41" s="45"/>
      <c r="M41" s="44"/>
      <c r="N41" s="31"/>
    </row>
    <row r="42" spans="1:14" ht="12.75" customHeight="1">
      <c r="A42" s="68" t="s">
        <v>379</v>
      </c>
      <c r="B42" s="44"/>
      <c r="C42" s="44"/>
      <c r="D42" s="44"/>
      <c r="E42" s="44"/>
      <c r="F42" s="44"/>
      <c r="G42" s="44"/>
      <c r="H42" s="44"/>
      <c r="I42" s="44"/>
      <c r="J42" s="44"/>
      <c r="K42" s="44"/>
      <c r="L42" s="45"/>
      <c r="M42" s="44"/>
      <c r="N42" s="31"/>
    </row>
    <row r="43" spans="1:14" ht="12.75">
      <c r="A43" s="29" t="s">
        <v>22</v>
      </c>
      <c r="B43" s="67"/>
      <c r="C43" s="67"/>
      <c r="D43" s="67"/>
      <c r="E43" s="67"/>
      <c r="F43" s="67"/>
      <c r="G43" s="67"/>
      <c r="H43" s="67"/>
      <c r="I43" s="67"/>
      <c r="J43" s="67"/>
      <c r="K43" s="67"/>
      <c r="L43" s="45"/>
      <c r="M43" s="44"/>
      <c r="N43" s="31"/>
    </row>
    <row r="44" spans="1:15" ht="12.75">
      <c r="A44" s="68" t="s">
        <v>27</v>
      </c>
      <c r="B44" s="68"/>
      <c r="C44" s="68"/>
      <c r="D44" s="68"/>
      <c r="E44" s="68"/>
      <c r="F44" s="68"/>
      <c r="G44" s="68"/>
      <c r="H44" s="68"/>
      <c r="I44" s="68"/>
      <c r="J44" s="68"/>
      <c r="K44" s="68"/>
      <c r="L44" s="69"/>
      <c r="M44" s="44"/>
      <c r="N44" s="31"/>
      <c r="O44" s="13"/>
    </row>
    <row r="45" spans="1:15" ht="12.75">
      <c r="A45" s="68" t="s">
        <v>28</v>
      </c>
      <c r="B45" s="68"/>
      <c r="C45" s="68"/>
      <c r="D45" s="68"/>
      <c r="E45" s="68"/>
      <c r="F45" s="68"/>
      <c r="G45" s="68"/>
      <c r="H45" s="68"/>
      <c r="I45" s="68"/>
      <c r="J45" s="68"/>
      <c r="K45" s="68"/>
      <c r="L45" s="69"/>
      <c r="M45" s="44"/>
      <c r="N45" s="31"/>
      <c r="O45" s="13"/>
    </row>
    <row r="46" spans="1:14" ht="12.75">
      <c r="A46" s="67" t="s">
        <v>29</v>
      </c>
      <c r="B46" s="67"/>
      <c r="C46" s="67"/>
      <c r="D46" s="67"/>
      <c r="E46" s="67"/>
      <c r="F46" s="67"/>
      <c r="G46" s="67"/>
      <c r="H46" s="67"/>
      <c r="I46" s="67"/>
      <c r="J46" s="67"/>
      <c r="K46" s="67"/>
      <c r="L46" s="45"/>
      <c r="M46" s="44"/>
      <c r="N46" s="31"/>
    </row>
    <row r="47" spans="1:15" ht="12.75" customHeight="1">
      <c r="A47" s="447" t="s">
        <v>30</v>
      </c>
      <c r="B47" s="447"/>
      <c r="C47" s="447"/>
      <c r="D47" s="447"/>
      <c r="E47" s="447"/>
      <c r="F47" s="447"/>
      <c r="G47" s="447"/>
      <c r="H47" s="447"/>
      <c r="I47" s="447"/>
      <c r="J47" s="447"/>
      <c r="K47" s="447"/>
      <c r="L47" s="70"/>
      <c r="M47" s="44"/>
      <c r="N47" s="31"/>
      <c r="O47" s="14"/>
    </row>
    <row r="48" spans="1:15" ht="12.75">
      <c r="A48" s="447"/>
      <c r="B48" s="447"/>
      <c r="C48" s="447"/>
      <c r="D48" s="447"/>
      <c r="E48" s="447"/>
      <c r="F48" s="447"/>
      <c r="G48" s="447"/>
      <c r="H48" s="447"/>
      <c r="I48" s="447"/>
      <c r="J48" s="447"/>
      <c r="K48" s="447"/>
      <c r="L48" s="70"/>
      <c r="M48" s="44"/>
      <c r="N48" s="31"/>
      <c r="O48" s="14"/>
    </row>
    <row r="49" spans="1:15" ht="12.75">
      <c r="A49" s="121" t="s">
        <v>418</v>
      </c>
      <c r="B49" s="67"/>
      <c r="C49" s="67"/>
      <c r="D49" s="67"/>
      <c r="E49" s="67"/>
      <c r="F49" s="67"/>
      <c r="G49" s="67"/>
      <c r="H49" s="67"/>
      <c r="I49" s="67"/>
      <c r="J49" s="122" t="s">
        <v>99</v>
      </c>
      <c r="K49" s="45"/>
      <c r="L49" s="44"/>
      <c r="M49" s="44"/>
      <c r="N49" s="14"/>
      <c r="O49" s="14"/>
    </row>
    <row r="50" spans="1:15" ht="12.75">
      <c r="A50" s="87"/>
      <c r="B50" s="87"/>
      <c r="C50" s="87"/>
      <c r="D50" s="87"/>
      <c r="E50" s="87"/>
      <c r="F50" s="87"/>
      <c r="G50" s="87"/>
      <c r="H50" s="87"/>
      <c r="I50" s="87"/>
      <c r="J50" s="87"/>
      <c r="K50" s="87"/>
      <c r="L50" s="14"/>
      <c r="M50" s="14"/>
      <c r="N50" s="14"/>
      <c r="O50" s="14"/>
    </row>
    <row r="51" spans="1:15" ht="12.75">
      <c r="A51" s="87"/>
      <c r="B51" s="87"/>
      <c r="C51" s="87"/>
      <c r="D51" s="87"/>
      <c r="E51" s="87"/>
      <c r="F51" s="87"/>
      <c r="G51" s="87"/>
      <c r="H51" s="87"/>
      <c r="I51" s="87"/>
      <c r="J51" s="87"/>
      <c r="K51" s="87"/>
      <c r="L51" s="14"/>
      <c r="M51" s="14"/>
      <c r="N51" s="14"/>
      <c r="O51" s="14"/>
    </row>
    <row r="52" spans="1:11" ht="12.75">
      <c r="A52" s="88" t="s">
        <v>93</v>
      </c>
      <c r="B52" s="89"/>
      <c r="C52" s="90"/>
      <c r="D52" s="91" t="s">
        <v>7</v>
      </c>
      <c r="E52" s="92"/>
      <c r="F52" s="92"/>
      <c r="G52" s="93"/>
      <c r="H52" s="94"/>
      <c r="I52" s="90"/>
      <c r="J52" s="89"/>
      <c r="K52" s="89"/>
    </row>
    <row r="53" spans="1:11" ht="12.75">
      <c r="A53" s="89"/>
      <c r="B53" s="90"/>
      <c r="C53" s="95"/>
      <c r="D53" s="96" t="s">
        <v>2</v>
      </c>
      <c r="E53" s="96" t="s">
        <v>9</v>
      </c>
      <c r="F53" s="96" t="s">
        <v>10</v>
      </c>
      <c r="G53" s="96" t="s">
        <v>11</v>
      </c>
      <c r="H53" s="96" t="s">
        <v>12</v>
      </c>
      <c r="I53" s="95"/>
      <c r="J53" s="89"/>
      <c r="K53" s="89"/>
    </row>
    <row r="54" spans="1:11" ht="12.75">
      <c r="A54" s="89"/>
      <c r="B54" s="90"/>
      <c r="C54" s="95"/>
      <c r="D54" s="97">
        <v>30</v>
      </c>
      <c r="E54" s="97">
        <v>0.03</v>
      </c>
      <c r="F54" s="97">
        <v>0.02</v>
      </c>
      <c r="G54" s="97">
        <v>0.005</v>
      </c>
      <c r="H54" s="97">
        <v>0.005</v>
      </c>
      <c r="I54" s="95"/>
      <c r="J54" s="89"/>
      <c r="K54" s="89"/>
    </row>
    <row r="55" spans="1:11" ht="12.75">
      <c r="A55" s="89"/>
      <c r="B55" s="90"/>
      <c r="C55" s="95"/>
      <c r="D55" s="97">
        <v>35</v>
      </c>
      <c r="E55" s="97">
        <v>0.05</v>
      </c>
      <c r="F55" s="97">
        <v>0.03</v>
      </c>
      <c r="G55" s="97">
        <v>0.005</v>
      </c>
      <c r="H55" s="97">
        <v>0.005</v>
      </c>
      <c r="I55" s="95"/>
      <c r="J55" s="89"/>
      <c r="K55" s="89"/>
    </row>
    <row r="56" spans="1:11" ht="12.75">
      <c r="A56" s="89"/>
      <c r="B56" s="90"/>
      <c r="C56" s="95"/>
      <c r="D56" s="97">
        <v>40</v>
      </c>
      <c r="E56" s="97">
        <v>0.07</v>
      </c>
      <c r="F56" s="97">
        <v>0.03</v>
      </c>
      <c r="G56" s="97">
        <v>0.02</v>
      </c>
      <c r="H56" s="97">
        <v>0.01</v>
      </c>
      <c r="I56" s="95"/>
      <c r="J56" s="89"/>
      <c r="K56" s="89"/>
    </row>
    <row r="57" spans="1:11" ht="12.75">
      <c r="A57" s="89"/>
      <c r="B57" s="90"/>
      <c r="C57" s="95"/>
      <c r="D57" s="97">
        <v>45</v>
      </c>
      <c r="E57" s="97">
        <v>0.11</v>
      </c>
      <c r="F57" s="97">
        <v>0.04</v>
      </c>
      <c r="G57" s="97">
        <v>0.05</v>
      </c>
      <c r="H57" s="97">
        <v>0.02</v>
      </c>
      <c r="I57" s="95"/>
      <c r="J57" s="89"/>
      <c r="K57" s="89"/>
    </row>
    <row r="58" spans="1:11" ht="12.75">
      <c r="A58" s="89"/>
      <c r="B58" s="90"/>
      <c r="C58" s="95"/>
      <c r="D58" s="97">
        <v>50</v>
      </c>
      <c r="E58" s="97">
        <v>0.14</v>
      </c>
      <c r="F58" s="97">
        <v>0.05</v>
      </c>
      <c r="G58" s="97">
        <v>0.08</v>
      </c>
      <c r="H58" s="97">
        <v>0.03</v>
      </c>
      <c r="I58" s="95"/>
      <c r="J58" s="89"/>
      <c r="K58" s="89"/>
    </row>
    <row r="59" spans="1:11" ht="12.75">
      <c r="A59" s="89"/>
      <c r="B59" s="89"/>
      <c r="C59" s="89"/>
      <c r="D59" s="97">
        <v>55</v>
      </c>
      <c r="E59" s="97">
        <v>0.16</v>
      </c>
      <c r="F59" s="97">
        <v>0.06</v>
      </c>
      <c r="G59" s="97">
        <v>0.12</v>
      </c>
      <c r="H59" s="97">
        <v>0.04</v>
      </c>
      <c r="I59" s="89"/>
      <c r="J59" s="89"/>
      <c r="K59" s="89"/>
    </row>
    <row r="60" spans="1:11" ht="12.75">
      <c r="A60" s="89"/>
      <c r="B60" s="90"/>
      <c r="C60" s="90"/>
      <c r="D60" s="97">
        <v>60</v>
      </c>
      <c r="E60" s="97">
        <v>0.21</v>
      </c>
      <c r="F60" s="97">
        <v>0.08</v>
      </c>
      <c r="G60" s="97">
        <v>0.12</v>
      </c>
      <c r="H60" s="97">
        <v>0.04</v>
      </c>
      <c r="I60" s="90"/>
      <c r="J60" s="89"/>
      <c r="K60" s="89"/>
    </row>
    <row r="61" spans="1:11" ht="12.75">
      <c r="A61" s="89"/>
      <c r="B61" s="90"/>
      <c r="C61" s="95"/>
      <c r="D61" s="97">
        <v>65</v>
      </c>
      <c r="E61" s="97">
        <v>0.28</v>
      </c>
      <c r="F61" s="97">
        <v>0.1</v>
      </c>
      <c r="G61" s="97">
        <v>0.1</v>
      </c>
      <c r="H61" s="97">
        <v>0.04</v>
      </c>
      <c r="I61" s="95"/>
      <c r="J61" s="89"/>
      <c r="K61" s="89"/>
    </row>
    <row r="62" spans="1:11" ht="12.75">
      <c r="A62" s="89"/>
      <c r="B62" s="90"/>
      <c r="C62" s="95"/>
      <c r="D62" s="97">
        <v>70</v>
      </c>
      <c r="E62" s="97">
        <v>0.23</v>
      </c>
      <c r="F62" s="97">
        <v>0.13</v>
      </c>
      <c r="G62" s="97">
        <v>0.11</v>
      </c>
      <c r="H62" s="97">
        <v>0.03</v>
      </c>
      <c r="I62" s="95"/>
      <c r="J62" s="89"/>
      <c r="K62" s="89"/>
    </row>
    <row r="63" spans="1:11" ht="12.75">
      <c r="A63" s="89"/>
      <c r="B63" s="90"/>
      <c r="C63" s="95"/>
      <c r="D63" s="98">
        <v>74</v>
      </c>
      <c r="E63" s="98">
        <v>0.23</v>
      </c>
      <c r="F63" s="98">
        <v>0.13</v>
      </c>
      <c r="G63" s="98">
        <v>0.11</v>
      </c>
      <c r="H63" s="98">
        <v>0.03</v>
      </c>
      <c r="I63" s="95"/>
      <c r="J63" s="99"/>
      <c r="K63" s="99"/>
    </row>
    <row r="64" spans="1:11" ht="12.75">
      <c r="A64" s="89"/>
      <c r="B64" s="90"/>
      <c r="C64" s="95"/>
      <c r="D64" s="89"/>
      <c r="E64" s="89"/>
      <c r="F64" s="89"/>
      <c r="G64" s="89"/>
      <c r="H64" s="89"/>
      <c r="I64" s="95"/>
      <c r="J64" s="99"/>
      <c r="K64" s="99"/>
    </row>
    <row r="65" spans="1:11" ht="12.75">
      <c r="A65" s="89"/>
      <c r="B65" s="90"/>
      <c r="C65" s="95"/>
      <c r="D65" s="91" t="s">
        <v>8</v>
      </c>
      <c r="E65" s="92"/>
      <c r="F65" s="92"/>
      <c r="G65" s="93"/>
      <c r="H65" s="100"/>
      <c r="I65" s="95"/>
      <c r="J65" s="99"/>
      <c r="K65" s="99"/>
    </row>
    <row r="66" spans="1:11" ht="12.75">
      <c r="A66" s="89"/>
      <c r="B66" s="90"/>
      <c r="C66" s="95"/>
      <c r="D66" s="101" t="s">
        <v>2</v>
      </c>
      <c r="E66" s="101" t="s">
        <v>9</v>
      </c>
      <c r="F66" s="101" t="s">
        <v>11</v>
      </c>
      <c r="G66" s="102"/>
      <c r="H66" s="103"/>
      <c r="I66" s="95"/>
      <c r="J66" s="89"/>
      <c r="K66" s="89"/>
    </row>
    <row r="67" spans="1:11" ht="12.75">
      <c r="A67" s="89"/>
      <c r="B67" s="89"/>
      <c r="C67" s="89"/>
      <c r="D67" s="97">
        <v>55</v>
      </c>
      <c r="E67" s="97">
        <v>0.059000000000000004</v>
      </c>
      <c r="F67" s="97">
        <v>0.03</v>
      </c>
      <c r="G67" s="104"/>
      <c r="H67" s="104"/>
      <c r="I67" s="89"/>
      <c r="J67" s="89"/>
      <c r="K67" s="89"/>
    </row>
    <row r="68" spans="1:11" ht="12.75">
      <c r="A68" s="89"/>
      <c r="B68" s="88"/>
      <c r="C68" s="95"/>
      <c r="D68" s="97">
        <v>60</v>
      </c>
      <c r="E68" s="97">
        <v>0.078</v>
      </c>
      <c r="F68" s="97">
        <v>0.047</v>
      </c>
      <c r="G68" s="104"/>
      <c r="H68" s="104"/>
      <c r="I68" s="89"/>
      <c r="J68" s="89"/>
      <c r="K68" s="89"/>
    </row>
    <row r="69" spans="1:11" ht="12.75">
      <c r="A69" s="89"/>
      <c r="B69" s="89"/>
      <c r="C69" s="105"/>
      <c r="D69" s="97">
        <v>65</v>
      </c>
      <c r="E69" s="97">
        <v>0.11</v>
      </c>
      <c r="F69" s="97">
        <v>0.07200000000000001</v>
      </c>
      <c r="G69" s="104"/>
      <c r="H69" s="106"/>
      <c r="I69" s="89"/>
      <c r="J69" s="89"/>
      <c r="K69" s="89"/>
    </row>
    <row r="70" spans="1:11" ht="12.75">
      <c r="A70" s="89"/>
      <c r="B70" s="107"/>
      <c r="C70" s="108"/>
      <c r="D70" s="97">
        <v>70</v>
      </c>
      <c r="E70" s="97">
        <v>0.137</v>
      </c>
      <c r="F70" s="97">
        <v>0.109</v>
      </c>
      <c r="G70" s="104"/>
      <c r="H70" s="109"/>
      <c r="I70" s="89"/>
      <c r="J70" s="89"/>
      <c r="K70" s="89"/>
    </row>
    <row r="71" spans="1:11" ht="12.75">
      <c r="A71" s="89"/>
      <c r="B71" s="107"/>
      <c r="C71" s="108"/>
      <c r="D71" s="97">
        <v>75</v>
      </c>
      <c r="E71" s="97">
        <v>0.18</v>
      </c>
      <c r="F71" s="97">
        <v>0.155</v>
      </c>
      <c r="G71" s="104"/>
      <c r="H71" s="110"/>
      <c r="I71" s="89"/>
      <c r="J71" s="89"/>
      <c r="K71" s="89"/>
    </row>
    <row r="72" spans="1:11" ht="12.75">
      <c r="A72" s="89"/>
      <c r="B72" s="89"/>
      <c r="C72" s="89"/>
      <c r="D72" s="98">
        <v>80</v>
      </c>
      <c r="E72" s="98">
        <v>0.223</v>
      </c>
      <c r="F72" s="98">
        <v>0.23900000000000002</v>
      </c>
      <c r="G72" s="111"/>
      <c r="H72" s="112"/>
      <c r="I72" s="89"/>
      <c r="J72" s="89"/>
      <c r="K72" s="89"/>
    </row>
    <row r="74" spans="1:12" ht="12.75">
      <c r="A74" s="17" t="s">
        <v>35</v>
      </c>
      <c r="B74" s="113"/>
      <c r="C74" s="113"/>
      <c r="D74" s="113"/>
      <c r="E74" s="113"/>
      <c r="F74" s="113"/>
      <c r="G74" s="113"/>
      <c r="H74" s="113"/>
      <c r="I74" s="113"/>
      <c r="J74" s="113"/>
      <c r="K74" s="113"/>
      <c r="L74" s="113"/>
    </row>
    <row r="75" spans="1:12" ht="12.75">
      <c r="A75" s="114" t="s">
        <v>39</v>
      </c>
      <c r="B75" s="113" t="s">
        <v>40</v>
      </c>
      <c r="C75" s="113"/>
      <c r="D75" s="113"/>
      <c r="E75" s="113"/>
      <c r="F75" s="113"/>
      <c r="G75" s="113"/>
      <c r="H75" s="113"/>
      <c r="I75" s="113"/>
      <c r="J75" s="113"/>
      <c r="K75" s="113"/>
      <c r="L75" s="113"/>
    </row>
    <row r="76" spans="1:20" ht="12.75">
      <c r="A76" s="114" t="s">
        <v>36</v>
      </c>
      <c r="B76" s="113" t="s">
        <v>41</v>
      </c>
      <c r="C76" s="113"/>
      <c r="D76" s="113"/>
      <c r="E76" s="113"/>
      <c r="F76" s="115"/>
      <c r="G76" s="115"/>
      <c r="H76" s="113"/>
      <c r="I76" s="113"/>
      <c r="J76" s="113"/>
      <c r="K76" s="113"/>
      <c r="L76" s="113"/>
      <c r="O76" s="9"/>
      <c r="P76" s="7"/>
      <c r="Q76" s="15"/>
      <c r="S76" s="7"/>
      <c r="T76" s="7"/>
    </row>
    <row r="77" spans="1:20" ht="12.75">
      <c r="A77" s="116" t="s">
        <v>37</v>
      </c>
      <c r="B77" s="116" t="s">
        <v>97</v>
      </c>
      <c r="C77" s="113"/>
      <c r="D77" s="113"/>
      <c r="E77" s="117"/>
      <c r="F77" s="117"/>
      <c r="G77" s="115"/>
      <c r="H77" s="113"/>
      <c r="I77" s="113"/>
      <c r="J77" s="113"/>
      <c r="K77" s="113"/>
      <c r="L77" s="113"/>
      <c r="O77" s="16"/>
      <c r="P77" s="16"/>
      <c r="Q77" s="18"/>
      <c r="R77" s="18"/>
      <c r="S77" s="18"/>
      <c r="T77" s="7"/>
    </row>
    <row r="78" spans="1:20" ht="12.75">
      <c r="A78" s="116" t="s">
        <v>38</v>
      </c>
      <c r="B78" s="118" t="s">
        <v>413</v>
      </c>
      <c r="C78" s="113"/>
      <c r="D78" s="115"/>
      <c r="E78" s="115"/>
      <c r="F78" s="115"/>
      <c r="G78" s="115"/>
      <c r="H78" s="113"/>
      <c r="I78" s="113"/>
      <c r="J78" s="113"/>
      <c r="K78" s="113"/>
      <c r="L78" s="113"/>
      <c r="N78" s="16"/>
      <c r="O78" s="7"/>
      <c r="P78" s="7"/>
      <c r="Q78" s="7"/>
      <c r="R78" s="7"/>
      <c r="S78" s="7"/>
      <c r="T78" s="7"/>
    </row>
    <row r="79" spans="2:20" ht="12.75">
      <c r="B79" s="115" t="s">
        <v>375</v>
      </c>
      <c r="C79" s="115"/>
      <c r="D79" s="115"/>
      <c r="E79" s="115"/>
      <c r="F79" s="115"/>
      <c r="G79" s="115"/>
      <c r="H79" s="113"/>
      <c r="I79" s="113"/>
      <c r="J79" s="113"/>
      <c r="K79" s="113"/>
      <c r="L79" s="113"/>
      <c r="N79" s="16"/>
      <c r="O79" s="7"/>
      <c r="P79" s="7"/>
      <c r="Q79" s="7"/>
      <c r="R79" s="7"/>
      <c r="S79" s="7"/>
      <c r="T79" s="7"/>
    </row>
    <row r="80" spans="1:20" ht="12.75">
      <c r="A80" s="114" t="s">
        <v>42</v>
      </c>
      <c r="B80" s="7"/>
      <c r="C80" s="7"/>
      <c r="D80" s="7"/>
      <c r="E80" s="7"/>
      <c r="F80" s="7"/>
      <c r="G80" s="7"/>
      <c r="N80" s="16"/>
      <c r="O80" s="7"/>
      <c r="P80" s="7"/>
      <c r="Q80" s="7"/>
      <c r="R80" s="7"/>
      <c r="S80" s="7"/>
      <c r="T80" s="7"/>
    </row>
    <row r="81" spans="2:20" ht="12.75">
      <c r="B81" s="9"/>
      <c r="C81" s="7"/>
      <c r="D81" s="7"/>
      <c r="E81" s="7"/>
      <c r="F81" s="7"/>
      <c r="G81" s="7"/>
      <c r="N81" s="16"/>
      <c r="O81" s="7"/>
      <c r="P81" s="7"/>
      <c r="Q81" s="7"/>
      <c r="R81" s="7"/>
      <c r="S81" s="7"/>
      <c r="T81" s="7"/>
    </row>
    <row r="82" spans="2:20" ht="12.75">
      <c r="B82" s="7"/>
      <c r="C82" s="7"/>
      <c r="D82" s="7"/>
      <c r="E82" s="7"/>
      <c r="F82" s="7"/>
      <c r="G82" s="7"/>
      <c r="Q82" s="7"/>
      <c r="R82" s="7"/>
      <c r="S82" s="7"/>
      <c r="T82" s="7"/>
    </row>
    <row r="83" spans="2:20" ht="12.75">
      <c r="B83" s="7"/>
      <c r="C83" s="7"/>
      <c r="D83" s="7"/>
      <c r="E83" s="7"/>
      <c r="F83" s="7"/>
      <c r="G83" s="7"/>
      <c r="Q83" s="7"/>
      <c r="R83" s="7"/>
      <c r="S83" s="7"/>
      <c r="T83" s="7"/>
    </row>
    <row r="84" spans="2:20" ht="12.75">
      <c r="B84" s="7"/>
      <c r="C84" s="7"/>
      <c r="D84" s="7"/>
      <c r="E84" s="7"/>
      <c r="F84" s="7"/>
      <c r="G84" s="7"/>
      <c r="O84" s="7"/>
      <c r="P84" s="7"/>
      <c r="Q84" s="7"/>
      <c r="R84" s="7"/>
      <c r="S84" s="7"/>
      <c r="T84" s="7"/>
    </row>
    <row r="85" spans="2:20" ht="12.75">
      <c r="B85" s="7"/>
      <c r="C85" s="7"/>
      <c r="D85" s="7"/>
      <c r="E85" s="7"/>
      <c r="F85" s="7"/>
      <c r="G85" s="7"/>
      <c r="O85" s="7"/>
      <c r="P85" s="7"/>
      <c r="Q85" s="7"/>
      <c r="R85" s="7"/>
      <c r="S85" s="7"/>
      <c r="T85" s="7"/>
    </row>
    <row r="86" spans="2:20" ht="12.75">
      <c r="B86" s="7"/>
      <c r="C86" s="7"/>
      <c r="D86" s="7"/>
      <c r="E86" s="7"/>
      <c r="F86" s="7"/>
      <c r="G86" s="7"/>
      <c r="Q86" s="7"/>
      <c r="R86" s="7"/>
      <c r="S86" s="7"/>
      <c r="T86" s="7"/>
    </row>
    <row r="87" spans="2:20" ht="12.75">
      <c r="B87" s="7"/>
      <c r="C87" s="7"/>
      <c r="D87" s="7"/>
      <c r="E87" s="7"/>
      <c r="F87" s="7"/>
      <c r="G87" s="7"/>
      <c r="Q87" s="7"/>
      <c r="R87" s="7"/>
      <c r="S87" s="7"/>
      <c r="T87" s="7"/>
    </row>
    <row r="88" spans="2:10" ht="12.75">
      <c r="B88" s="7"/>
      <c r="C88" s="7"/>
      <c r="E88" s="7"/>
      <c r="F88" s="7"/>
      <c r="G88" s="7"/>
      <c r="H88" s="7"/>
      <c r="I88" s="7"/>
      <c r="J88" s="7"/>
    </row>
    <row r="89" spans="2:10" ht="12.75">
      <c r="B89" s="7"/>
      <c r="C89" s="7"/>
      <c r="D89" s="18"/>
      <c r="E89" s="18"/>
      <c r="F89" s="18"/>
      <c r="G89" s="7"/>
      <c r="H89" s="15"/>
      <c r="J89" s="7"/>
    </row>
    <row r="90" spans="2:11" ht="12.75">
      <c r="B90" s="7"/>
      <c r="C90" s="7"/>
      <c r="D90" s="7"/>
      <c r="E90" s="7"/>
      <c r="F90" s="7"/>
      <c r="G90" s="7"/>
      <c r="H90" s="9"/>
      <c r="I90" s="18"/>
      <c r="J90" s="18"/>
      <c r="K90" s="7"/>
    </row>
    <row r="91" spans="2:11" ht="12.75">
      <c r="B91" s="7"/>
      <c r="C91" s="7"/>
      <c r="D91" s="7"/>
      <c r="E91" s="7"/>
      <c r="F91" s="7"/>
      <c r="G91" s="7"/>
      <c r="H91" s="7"/>
      <c r="I91" s="7"/>
      <c r="J91" s="7"/>
      <c r="K91" s="7"/>
    </row>
    <row r="92" spans="2:11" ht="12.75">
      <c r="B92" s="7"/>
      <c r="C92" s="7"/>
      <c r="D92" s="7"/>
      <c r="E92" s="7"/>
      <c r="F92" s="7"/>
      <c r="G92" s="7"/>
      <c r="H92" s="7"/>
      <c r="I92" s="7"/>
      <c r="J92" s="7"/>
      <c r="K92" s="7"/>
    </row>
    <row r="93" spans="2:11" ht="12.75">
      <c r="B93" s="7"/>
      <c r="C93" s="7"/>
      <c r="D93" s="7"/>
      <c r="E93" s="7"/>
      <c r="F93" s="7"/>
      <c r="G93" s="7"/>
      <c r="H93" s="7"/>
      <c r="I93" s="7"/>
      <c r="J93" s="7"/>
      <c r="K93" s="7"/>
    </row>
    <row r="94" spans="2:11" ht="12.75">
      <c r="B94" s="7"/>
      <c r="C94" s="7"/>
      <c r="D94" s="7"/>
      <c r="E94" s="7"/>
      <c r="F94" s="7"/>
      <c r="G94" s="7"/>
      <c r="H94" s="7"/>
      <c r="I94" s="7"/>
      <c r="J94" s="7"/>
      <c r="K94" s="7"/>
    </row>
    <row r="95" spans="2:11" ht="12.75">
      <c r="B95" s="7"/>
      <c r="C95" s="15"/>
      <c r="D95" s="7"/>
      <c r="E95" s="7"/>
      <c r="F95" s="7"/>
      <c r="G95" s="7"/>
      <c r="H95" s="7"/>
      <c r="I95" s="7"/>
      <c r="J95" s="7"/>
      <c r="K95" s="7"/>
    </row>
    <row r="96" spans="2:11" ht="12.75">
      <c r="B96" s="7"/>
      <c r="C96" s="15"/>
      <c r="D96" s="7"/>
      <c r="E96" s="7"/>
      <c r="F96" s="7"/>
      <c r="G96" s="7"/>
      <c r="H96" s="7"/>
      <c r="I96" s="7"/>
      <c r="J96" s="7"/>
      <c r="K96" s="7"/>
    </row>
    <row r="97" spans="2:11" ht="12.75">
      <c r="B97" s="7"/>
      <c r="C97" s="7"/>
      <c r="D97" s="9"/>
      <c r="E97" s="18"/>
      <c r="F97" s="18"/>
      <c r="G97" s="7"/>
      <c r="H97" s="7"/>
      <c r="I97" s="7"/>
      <c r="J97" s="7"/>
      <c r="K97" s="7"/>
    </row>
    <row r="98" spans="2:11" ht="12.75">
      <c r="B98" s="7"/>
      <c r="C98" s="7"/>
      <c r="D98" s="7"/>
      <c r="E98" s="7"/>
      <c r="F98" s="7"/>
      <c r="G98" s="7"/>
      <c r="H98" s="7"/>
      <c r="I98" s="7"/>
      <c r="J98" s="7"/>
      <c r="K98" s="7"/>
    </row>
    <row r="99" spans="1:12" ht="15.75">
      <c r="A99" s="30"/>
      <c r="B99" s="30"/>
      <c r="C99" s="30"/>
      <c r="D99" s="30"/>
      <c r="E99" s="30"/>
      <c r="F99" s="30"/>
      <c r="G99" s="30"/>
      <c r="H99" s="30"/>
      <c r="I99" s="30"/>
      <c r="J99" s="30"/>
      <c r="K99" s="30"/>
      <c r="L99" s="30"/>
    </row>
    <row r="100" spans="1:12" ht="15.75">
      <c r="A100" s="30"/>
      <c r="B100" s="30"/>
      <c r="C100" s="30"/>
      <c r="D100" s="30"/>
      <c r="E100" s="30"/>
      <c r="F100" s="30"/>
      <c r="G100" s="30"/>
      <c r="H100" s="30"/>
      <c r="I100" s="30"/>
      <c r="J100" s="30"/>
      <c r="K100" s="30"/>
      <c r="L100" s="30"/>
    </row>
    <row r="101" spans="1:12" ht="15.75">
      <c r="A101" s="30"/>
      <c r="B101" s="30"/>
      <c r="C101" s="30"/>
      <c r="D101" s="30"/>
      <c r="E101" s="30"/>
      <c r="F101" s="30"/>
      <c r="G101" s="30"/>
      <c r="H101" s="30"/>
      <c r="I101" s="30"/>
      <c r="J101" s="30"/>
      <c r="K101" s="30"/>
      <c r="L101" s="30"/>
    </row>
    <row r="102" spans="1:12" ht="15.75">
      <c r="A102" s="30"/>
      <c r="B102" s="30"/>
      <c r="C102" s="30"/>
      <c r="D102" s="30"/>
      <c r="E102" s="30"/>
      <c r="F102" s="30"/>
      <c r="G102" s="30"/>
      <c r="H102" s="30"/>
      <c r="I102" s="30"/>
      <c r="J102" s="30"/>
      <c r="K102" s="30"/>
      <c r="L102" s="30"/>
    </row>
    <row r="103" spans="1:12" ht="15.75">
      <c r="A103" s="30"/>
      <c r="B103" s="30"/>
      <c r="C103" s="30"/>
      <c r="D103" s="30"/>
      <c r="E103" s="30"/>
      <c r="F103" s="30"/>
      <c r="G103" s="30"/>
      <c r="H103" s="30"/>
      <c r="I103" s="30"/>
      <c r="J103" s="30"/>
      <c r="K103" s="30"/>
      <c r="L103" s="30"/>
    </row>
    <row r="104" spans="1:12" ht="15.75">
      <c r="A104" s="30"/>
      <c r="B104" s="30"/>
      <c r="C104" s="30"/>
      <c r="D104" s="30"/>
      <c r="E104" s="30"/>
      <c r="F104" s="30"/>
      <c r="G104" s="30"/>
      <c r="H104" s="30"/>
      <c r="I104" s="30"/>
      <c r="J104" s="30"/>
      <c r="K104" s="30"/>
      <c r="L104" s="30"/>
    </row>
    <row r="105" spans="1:12" ht="15.75">
      <c r="A105" s="30"/>
      <c r="B105" s="30"/>
      <c r="C105" s="30"/>
      <c r="D105" s="30"/>
      <c r="E105" s="30"/>
      <c r="F105" s="30"/>
      <c r="G105" s="30"/>
      <c r="H105" s="30"/>
      <c r="I105" s="30"/>
      <c r="J105" s="30"/>
      <c r="K105" s="30"/>
      <c r="L105" s="30"/>
    </row>
  </sheetData>
  <sheetProtection password="CA27" sheet="1" objects="1" scenarios="1"/>
  <mergeCells count="9">
    <mergeCell ref="A1:K1"/>
    <mergeCell ref="A3:B3"/>
    <mergeCell ref="C30:G30"/>
    <mergeCell ref="C31:G31"/>
    <mergeCell ref="F3:I3"/>
    <mergeCell ref="A47:K48"/>
    <mergeCell ref="C32:G32"/>
    <mergeCell ref="C33:G33"/>
    <mergeCell ref="C34:G34"/>
  </mergeCells>
  <conditionalFormatting sqref="C5 F5 I5">
    <cfRule type="cellIs" priority="1" dxfId="0" operator="greaterThan" stopIfTrue="1">
      <formula>7.5</formula>
    </cfRule>
  </conditionalFormatting>
  <conditionalFormatting sqref="C7 F7 I7">
    <cfRule type="cellIs" priority="2" dxfId="0" operator="greaterThan" stopIfTrue="1">
      <formula>159</formula>
    </cfRule>
  </conditionalFormatting>
  <conditionalFormatting sqref="C6 F6 I6">
    <cfRule type="cellIs" priority="3" dxfId="0" operator="lessThan" stopIfTrue="1">
      <formula>0.9</formula>
    </cfRule>
  </conditionalFormatting>
  <conditionalFormatting sqref="C16:D16 F16:G16 I16:J16 C28:D28 F28:G28 I28:J28">
    <cfRule type="cellIs" priority="4" dxfId="1" operator="greaterThan" stopIfTrue="1">
      <formula>0.3</formula>
    </cfRule>
    <cfRule type="cellIs" priority="5" dxfId="2" operator="greaterThan" stopIfTrue="1">
      <formula>0.2</formula>
    </cfRule>
    <cfRule type="cellIs" priority="6" dxfId="3" operator="greaterThan" stopIfTrue="1">
      <formula>0.15</formula>
    </cfRule>
  </conditionalFormatting>
  <conditionalFormatting sqref="C23:D23 F23:G23 I23:J23">
    <cfRule type="cellIs" priority="7" dxfId="1" operator="greaterThan" stopIfTrue="1">
      <formula>0.15</formula>
    </cfRule>
    <cfRule type="cellIs" priority="8" dxfId="2" operator="greaterThan" stopIfTrue="1">
      <formula>0.1</formula>
    </cfRule>
    <cfRule type="cellIs" priority="9" dxfId="4" operator="greaterThan" stopIfTrue="1">
      <formula>0.05</formula>
    </cfRule>
  </conditionalFormatting>
  <dataValidations count="5">
    <dataValidation type="whole" allowBlank="1" showErrorMessage="1" errorTitle="Input error" error="Please enter&#10; 0 for No&#10; 1 for Yes" sqref="D14 C8:C13 F8:F13 I8:I13">
      <formula1>0</formula1>
      <formula2>1</formula2>
    </dataValidation>
    <dataValidation errorStyle="warning" type="whole" allowBlank="1" showErrorMessage="1" errorTitle="Range warning" error="CHD risk equation was derived from 35-74&#10;Stroke risk equation was derived from 55-85" sqref="C4 F4 I4">
      <formula1>35</formula1>
      <formula2>85</formula2>
    </dataValidation>
    <dataValidation errorStyle="warning" type="decimal" allowBlank="1" showErrorMessage="1" errorTitle="Range warning" error="Unlikely&#10;Please enter a real value" sqref="C6 F6 I6">
      <formula1>0.1</formula1>
      <formula2>10</formula2>
    </dataValidation>
    <dataValidation errorStyle="warning" type="whole" allowBlank="1" showErrorMessage="1" errorTitle="Range warning" error="Unlikely!&#10;Please enter a real value" sqref="C7 F7 I7">
      <formula1>50</formula1>
      <formula2>300</formula2>
    </dataValidation>
    <dataValidation errorStyle="warning" type="decimal" allowBlank="1" showErrorMessage="1" errorTitle="Range warning" error="Unlikely!&#10;Please enter a real value" sqref="C5 F5 I5">
      <formula1>1</formula1>
      <formula2>30</formula2>
    </dataValidation>
  </dataValidations>
  <hyperlinks>
    <hyperlink ref="J2" location="Intro!C2" display="Home"/>
  </hyperlinks>
  <printOptions horizontalCentered="1" verticalCentered="1"/>
  <pageMargins left="0.5905511811023623" right="0.5905511811023623" top="0.5511811023622047" bottom="0.5905511811023623" header="0.5118110236220472" footer="0.4330708661417323"/>
  <pageSetup horizontalDpi="300" verticalDpi="300" orientation="landscape" paperSize="9" scale="99" r:id="rId3"/>
  <drawing r:id="rId2"/>
  <legacyDrawing r:id="rId1"/>
</worksheet>
</file>

<file path=xl/worksheets/sheet3.xml><?xml version="1.0" encoding="utf-8"?>
<worksheet xmlns="http://schemas.openxmlformats.org/spreadsheetml/2006/main" xmlns:r="http://schemas.openxmlformats.org/officeDocument/2006/relationships">
  <sheetPr codeName="Sheet2"/>
  <dimension ref="A1:M106"/>
  <sheetViews>
    <sheetView showGridLines="0" workbookViewId="0" topLeftCell="A1">
      <selection activeCell="C5" sqref="C5"/>
    </sheetView>
  </sheetViews>
  <sheetFormatPr defaultColWidth="9.00390625" defaultRowHeight="13.5"/>
  <cols>
    <col min="1" max="1" width="2.625" style="41" customWidth="1"/>
    <col min="2" max="2" width="40.75390625" style="5" customWidth="1"/>
    <col min="3" max="16384" width="8.75390625" style="5" customWidth="1"/>
  </cols>
  <sheetData>
    <row r="1" spans="1:13" ht="18" customHeight="1">
      <c r="A1" s="127"/>
      <c r="B1" s="127" t="s">
        <v>91</v>
      </c>
      <c r="C1" s="127"/>
      <c r="D1" s="127"/>
      <c r="E1" s="127"/>
      <c r="F1" s="22"/>
      <c r="G1" s="22"/>
      <c r="H1" s="22"/>
      <c r="I1" s="22"/>
      <c r="J1" s="22"/>
      <c r="K1" s="22"/>
      <c r="L1" s="22"/>
      <c r="M1" s="22"/>
    </row>
    <row r="2" spans="1:13" ht="12.75" customHeight="1">
      <c r="A2" s="127"/>
      <c r="B2" s="138" t="s">
        <v>100</v>
      </c>
      <c r="C2" s="127"/>
      <c r="D2" s="127"/>
      <c r="E2" s="127"/>
      <c r="F2" s="369" t="s">
        <v>403</v>
      </c>
      <c r="G2" s="22"/>
      <c r="H2" s="22"/>
      <c r="I2" s="22"/>
      <c r="J2" s="22"/>
      <c r="K2" s="22"/>
      <c r="L2" s="22"/>
      <c r="M2" s="22"/>
    </row>
    <row r="3" spans="1:13" ht="12.75" customHeight="1" thickBot="1">
      <c r="A3" s="127"/>
      <c r="B3" s="138"/>
      <c r="C3" s="127"/>
      <c r="D3" s="127"/>
      <c r="E3" s="127"/>
      <c r="F3" s="354" t="s">
        <v>376</v>
      </c>
      <c r="G3" s="22"/>
      <c r="H3" s="22"/>
      <c r="I3" s="22"/>
      <c r="J3" s="22"/>
      <c r="K3" s="22"/>
      <c r="L3" s="22"/>
      <c r="M3" s="22"/>
    </row>
    <row r="4" spans="1:13" ht="12.75" customHeight="1" thickBot="1">
      <c r="A4" s="127"/>
      <c r="B4" s="458">
        <v>55</v>
      </c>
      <c r="C4" s="459"/>
      <c r="D4" s="460"/>
      <c r="E4" s="127"/>
      <c r="F4" s="301"/>
      <c r="G4" s="22"/>
      <c r="H4" s="22"/>
      <c r="I4" s="22"/>
      <c r="J4" s="22"/>
      <c r="K4" s="22"/>
      <c r="L4" s="22"/>
      <c r="M4" s="22"/>
    </row>
    <row r="5" spans="1:13" ht="12.75" customHeight="1">
      <c r="A5" s="119"/>
      <c r="B5" s="84" t="s">
        <v>383</v>
      </c>
      <c r="C5" s="85">
        <v>55</v>
      </c>
      <c r="D5" s="353"/>
      <c r="E5" s="20"/>
      <c r="F5" s="20"/>
      <c r="G5" s="20"/>
      <c r="H5" s="20"/>
      <c r="I5" s="20"/>
      <c r="J5" s="20"/>
      <c r="K5" s="20"/>
      <c r="L5" s="20"/>
      <c r="M5" s="22"/>
    </row>
    <row r="6" spans="1:13" ht="12.75" customHeight="1" thickBot="1">
      <c r="A6" s="20"/>
      <c r="B6" s="75" t="s">
        <v>71</v>
      </c>
      <c r="C6" s="76">
        <v>0</v>
      </c>
      <c r="D6" s="320" t="s">
        <v>92</v>
      </c>
      <c r="E6" s="20"/>
      <c r="F6" s="20"/>
      <c r="G6" s="20"/>
      <c r="H6" s="20"/>
      <c r="I6" s="20"/>
      <c r="J6" s="20"/>
      <c r="K6" s="20"/>
      <c r="L6" s="20"/>
      <c r="M6" s="22"/>
    </row>
    <row r="7" spans="1:13" ht="12.75" customHeight="1" thickBot="1">
      <c r="A7" s="20"/>
      <c r="B7" s="455">
        <v>0</v>
      </c>
      <c r="C7" s="456"/>
      <c r="D7" s="457"/>
      <c r="E7" s="20"/>
      <c r="F7" s="20"/>
      <c r="G7" s="20"/>
      <c r="H7" s="20"/>
      <c r="I7" s="20"/>
      <c r="J7" s="20"/>
      <c r="K7" s="20"/>
      <c r="L7" s="20"/>
      <c r="M7" s="22"/>
    </row>
    <row r="8" spans="1:13" ht="12.75" customHeight="1">
      <c r="A8" s="274">
        <v>1</v>
      </c>
      <c r="B8" s="84" t="s">
        <v>65</v>
      </c>
      <c r="C8" s="85">
        <v>0</v>
      </c>
      <c r="D8" s="321" t="s">
        <v>16</v>
      </c>
      <c r="E8" s="20"/>
      <c r="F8" s="20"/>
      <c r="G8" s="20"/>
      <c r="H8" s="20"/>
      <c r="I8" s="20"/>
      <c r="J8" s="32"/>
      <c r="K8" s="20"/>
      <c r="L8" s="20"/>
      <c r="M8" s="22"/>
    </row>
    <row r="9" spans="1:13" ht="12.75" customHeight="1">
      <c r="A9" s="274">
        <v>2</v>
      </c>
      <c r="B9" s="71" t="s">
        <v>66</v>
      </c>
      <c r="C9" s="72">
        <v>0</v>
      </c>
      <c r="D9" s="49" t="s">
        <v>16</v>
      </c>
      <c r="E9" s="20"/>
      <c r="F9" s="20"/>
      <c r="G9" s="20"/>
      <c r="H9" s="20"/>
      <c r="I9" s="20"/>
      <c r="J9" s="33"/>
      <c r="K9" s="20"/>
      <c r="L9" s="20"/>
      <c r="M9" s="22"/>
    </row>
    <row r="10" spans="1:13" ht="12.75" customHeight="1">
      <c r="A10" s="274">
        <v>3</v>
      </c>
      <c r="B10" s="71" t="s">
        <v>67</v>
      </c>
      <c r="C10" s="72">
        <v>0</v>
      </c>
      <c r="D10" s="49" t="s">
        <v>16</v>
      </c>
      <c r="E10" s="20"/>
      <c r="F10" s="20"/>
      <c r="G10" s="20"/>
      <c r="H10" s="20"/>
      <c r="I10" s="20"/>
      <c r="J10" s="33"/>
      <c r="K10" s="20"/>
      <c r="L10" s="20"/>
      <c r="M10" s="22"/>
    </row>
    <row r="11" spans="1:13" ht="12.75" customHeight="1">
      <c r="A11" s="274">
        <v>4</v>
      </c>
      <c r="B11" s="71" t="s">
        <v>68</v>
      </c>
      <c r="C11" s="72">
        <v>0</v>
      </c>
      <c r="D11" s="49" t="s">
        <v>16</v>
      </c>
      <c r="E11" s="20"/>
      <c r="F11" s="20"/>
      <c r="G11" s="20"/>
      <c r="H11" s="20"/>
      <c r="I11" s="20"/>
      <c r="J11" s="34"/>
      <c r="K11" s="20"/>
      <c r="L11" s="20"/>
      <c r="M11" s="22"/>
    </row>
    <row r="12" spans="1:13" ht="12.75" customHeight="1">
      <c r="A12" s="274">
        <v>5</v>
      </c>
      <c r="B12" s="71" t="s">
        <v>69</v>
      </c>
      <c r="C12" s="72">
        <v>0</v>
      </c>
      <c r="D12" s="49" t="s">
        <v>16</v>
      </c>
      <c r="E12" s="20"/>
      <c r="F12" s="20"/>
      <c r="G12" s="20"/>
      <c r="H12" s="20"/>
      <c r="I12" s="20"/>
      <c r="J12" s="33"/>
      <c r="K12" s="20"/>
      <c r="L12" s="20"/>
      <c r="M12" s="22"/>
    </row>
    <row r="13" spans="1:13" ht="12.75" customHeight="1" thickBot="1">
      <c r="A13" s="274">
        <v>6</v>
      </c>
      <c r="B13" s="75" t="s">
        <v>70</v>
      </c>
      <c r="C13" s="76">
        <v>0</v>
      </c>
      <c r="D13" s="77" t="s">
        <v>16</v>
      </c>
      <c r="E13" s="20"/>
      <c r="F13" s="20"/>
      <c r="G13" s="20"/>
      <c r="H13" s="20"/>
      <c r="I13" s="20"/>
      <c r="J13" s="34"/>
      <c r="K13" s="20"/>
      <c r="L13" s="20"/>
      <c r="M13" s="22"/>
    </row>
    <row r="14" spans="1:13" ht="12.75" customHeight="1" thickBot="1">
      <c r="A14" s="20"/>
      <c r="B14" s="317" t="s">
        <v>401</v>
      </c>
      <c r="C14" s="434" t="str">
        <f>IF(C92=0,"None/Non-Anginal",IF(C92=1,"Chest Pain ? Cause","Typical Angina"))</f>
        <v>None/Non-Anginal</v>
      </c>
      <c r="D14" s="435"/>
      <c r="E14" s="20"/>
      <c r="F14" s="20"/>
      <c r="G14" s="20"/>
      <c r="H14" s="20"/>
      <c r="I14" s="20"/>
      <c r="J14" s="20"/>
      <c r="K14" s="20"/>
      <c r="L14" s="20"/>
      <c r="M14" s="22"/>
    </row>
    <row r="15" spans="1:13" ht="12.75" customHeight="1" thickBot="1">
      <c r="A15" s="20" t="s">
        <v>385</v>
      </c>
      <c r="B15" s="317" t="s">
        <v>390</v>
      </c>
      <c r="C15" s="137">
        <f>IF(C14="None/Non-Anginal",IF(C6=0,(0.3683*LN(C5)-1.2711),(0.0017*EXP(C5*0.0669))),IF(C14="Chest Pain ? Cause",IF(C6=0,(0.6265*LN(C5)-1.8796),(0.0244*EXP(0.0468*C5))),IF(C6=0,(0.299*LN(C5)-0.2869),(-0.0004*C5^2+0.0598*C5-1.34))))</f>
        <v>0.20480081212111934</v>
      </c>
      <c r="D15" s="20"/>
      <c r="E15" s="20"/>
      <c r="F15" s="20"/>
      <c r="G15" s="20"/>
      <c r="H15" s="20"/>
      <c r="I15" s="20"/>
      <c r="J15" s="20"/>
      <c r="K15" s="20"/>
      <c r="L15" s="20"/>
      <c r="M15" s="22"/>
    </row>
    <row r="16" spans="1:13" ht="12.75" customHeight="1">
      <c r="A16" s="20"/>
      <c r="B16" s="20"/>
      <c r="C16" s="335"/>
      <c r="D16" s="20"/>
      <c r="E16" s="20"/>
      <c r="F16" s="20"/>
      <c r="G16" s="20"/>
      <c r="H16" s="20"/>
      <c r="I16" s="20"/>
      <c r="J16" s="20"/>
      <c r="K16" s="20"/>
      <c r="L16" s="20"/>
      <c r="M16" s="22"/>
    </row>
    <row r="17" spans="1:13" ht="12.75" customHeight="1" thickBot="1">
      <c r="A17" s="20"/>
      <c r="B17" s="20"/>
      <c r="C17" s="20"/>
      <c r="D17" s="20"/>
      <c r="E17" s="20"/>
      <c r="F17" s="20"/>
      <c r="G17" s="20"/>
      <c r="H17" s="20"/>
      <c r="I17" s="20"/>
      <c r="J17" s="20"/>
      <c r="K17" s="20"/>
      <c r="L17" s="20"/>
      <c r="M17" s="22"/>
    </row>
    <row r="18" spans="1:13" ht="12.75" customHeight="1" thickBot="1">
      <c r="A18" s="20"/>
      <c r="B18" s="455">
        <v>0</v>
      </c>
      <c r="C18" s="456"/>
      <c r="D18" s="457"/>
      <c r="E18" s="20"/>
      <c r="F18" s="20"/>
      <c r="G18" s="20"/>
      <c r="H18" s="35"/>
      <c r="I18" s="20"/>
      <c r="J18" s="20"/>
      <c r="K18" s="20"/>
      <c r="L18" s="20"/>
      <c r="M18" s="22"/>
    </row>
    <row r="19" spans="1:13" ht="12.75" customHeight="1">
      <c r="A19" s="20"/>
      <c r="B19" s="84" t="s">
        <v>382</v>
      </c>
      <c r="C19" s="85">
        <v>0</v>
      </c>
      <c r="D19" s="319" t="s">
        <v>16</v>
      </c>
      <c r="E19" s="20"/>
      <c r="F19" s="20"/>
      <c r="G19" s="20"/>
      <c r="H19" s="20"/>
      <c r="I19" s="20"/>
      <c r="J19" s="20"/>
      <c r="K19" s="20"/>
      <c r="L19" s="20"/>
      <c r="M19" s="22"/>
    </row>
    <row r="20" spans="1:13" ht="12.75" customHeight="1">
      <c r="A20" s="20"/>
      <c r="B20" s="71" t="s">
        <v>3</v>
      </c>
      <c r="C20" s="72">
        <v>5</v>
      </c>
      <c r="D20" s="78" t="s">
        <v>4</v>
      </c>
      <c r="E20" s="20"/>
      <c r="F20" s="20"/>
      <c r="G20" s="20"/>
      <c r="H20" s="20"/>
      <c r="I20" s="20"/>
      <c r="J20" s="20"/>
      <c r="K20" s="20"/>
      <c r="L20" s="20"/>
      <c r="M20" s="22"/>
    </row>
    <row r="21" spans="1:13" ht="12.75" customHeight="1">
      <c r="A21" s="20"/>
      <c r="B21" s="71" t="s">
        <v>72</v>
      </c>
      <c r="C21" s="72">
        <v>0</v>
      </c>
      <c r="D21" s="79" t="s">
        <v>16</v>
      </c>
      <c r="E21" s="20"/>
      <c r="F21" s="20"/>
      <c r="G21" s="20"/>
      <c r="H21" s="20"/>
      <c r="I21" s="20"/>
      <c r="J21" s="20"/>
      <c r="K21" s="20"/>
      <c r="L21" s="20"/>
      <c r="M21" s="22"/>
    </row>
    <row r="22" spans="1:13" ht="12.75" customHeight="1">
      <c r="A22" s="20"/>
      <c r="B22" s="71" t="s">
        <v>73</v>
      </c>
      <c r="C22" s="72">
        <v>0</v>
      </c>
      <c r="D22" s="79" t="s">
        <v>16</v>
      </c>
      <c r="E22" s="20"/>
      <c r="F22" s="20"/>
      <c r="G22" s="20"/>
      <c r="H22" s="20"/>
      <c r="I22" s="20"/>
      <c r="J22" s="20"/>
      <c r="K22" s="20"/>
      <c r="L22" s="20"/>
      <c r="M22" s="22"/>
    </row>
    <row r="23" spans="1:13" ht="12.75" customHeight="1">
      <c r="A23" s="20"/>
      <c r="B23" s="71" t="s">
        <v>74</v>
      </c>
      <c r="C23" s="72">
        <v>0</v>
      </c>
      <c r="D23" s="79" t="s">
        <v>16</v>
      </c>
      <c r="E23" s="20"/>
      <c r="F23" s="20"/>
      <c r="G23" s="20"/>
      <c r="H23" s="20"/>
      <c r="I23" s="20"/>
      <c r="J23" s="20"/>
      <c r="K23" s="20"/>
      <c r="L23" s="20"/>
      <c r="M23" s="22"/>
    </row>
    <row r="24" spans="1:13" ht="12.75" customHeight="1" thickBot="1">
      <c r="A24" s="20"/>
      <c r="B24" s="73" t="s">
        <v>75</v>
      </c>
      <c r="C24" s="74">
        <v>0</v>
      </c>
      <c r="D24" s="79" t="s">
        <v>16</v>
      </c>
      <c r="E24" s="20"/>
      <c r="F24" s="20"/>
      <c r="G24" s="20"/>
      <c r="H24" s="20"/>
      <c r="I24" s="20"/>
      <c r="J24" s="20"/>
      <c r="K24" s="20"/>
      <c r="L24" s="20"/>
      <c r="M24" s="22"/>
    </row>
    <row r="25" spans="1:13" ht="12.75" customHeight="1" thickBot="1">
      <c r="A25" s="20" t="s">
        <v>386</v>
      </c>
      <c r="B25" s="317" t="s">
        <v>389</v>
      </c>
      <c r="C25" s="137">
        <f>1/(1+EXP(-(-7.376+(0.1126*$C$5)+(-0.328*$C$6)+(2.596*$C$19)+(1.845*IF($C$20&gt;6.4,1,0))+(0.694*$C$21)+(2.581*$C$93)+(0.976*$C$94)+(1.093*$C$22)+(1.213*$C$23)+(0.637*$C$24)+($C$101))))</f>
        <v>0.23451321706067385</v>
      </c>
      <c r="D25" s="20"/>
      <c r="E25" s="20"/>
      <c r="F25" s="20"/>
      <c r="G25" s="20"/>
      <c r="H25" s="20"/>
      <c r="I25" s="20"/>
      <c r="J25" s="20"/>
      <c r="K25" s="20"/>
      <c r="L25" s="20"/>
      <c r="M25" s="22"/>
    </row>
    <row r="26" spans="1:13" ht="12.75" customHeight="1" thickBot="1">
      <c r="A26" s="20"/>
      <c r="B26" s="128" t="s">
        <v>76</v>
      </c>
      <c r="C26" s="20"/>
      <c r="D26" s="20"/>
      <c r="E26" s="20"/>
      <c r="F26" s="20"/>
      <c r="G26" s="20"/>
      <c r="H26" s="20"/>
      <c r="I26" s="20"/>
      <c r="J26" s="20"/>
      <c r="K26" s="20"/>
      <c r="L26" s="20"/>
      <c r="M26" s="22"/>
    </row>
    <row r="27" spans="1:13" ht="12.75" customHeight="1" thickBot="1">
      <c r="A27" s="20"/>
      <c r="B27" s="452" t="str">
        <f>IF(C25&lt;D50,"Exercise Test usually not indicated",IF(C25&gt;D51,"Exercise Test only required for Prognostic assessment","Exercise Test indicated"))</f>
        <v>Exercise Test usually not indicated</v>
      </c>
      <c r="C27" s="453"/>
      <c r="D27" s="454"/>
      <c r="E27" s="20"/>
      <c r="F27" s="386" t="s">
        <v>424</v>
      </c>
      <c r="G27" s="20"/>
      <c r="H27" s="20"/>
      <c r="I27" s="20"/>
      <c r="J27" s="20"/>
      <c r="K27" s="20"/>
      <c r="L27" s="20"/>
      <c r="M27" s="22"/>
    </row>
    <row r="28" spans="1:13" ht="12.75" customHeight="1">
      <c r="A28" s="20"/>
      <c r="B28" s="128"/>
      <c r="C28" s="20"/>
      <c r="D28" s="20"/>
      <c r="E28" s="20"/>
      <c r="F28" s="20"/>
      <c r="G28" s="20"/>
      <c r="H28" s="20"/>
      <c r="I28" s="20"/>
      <c r="J28" s="20"/>
      <c r="K28" s="20"/>
      <c r="L28" s="20"/>
      <c r="M28" s="22"/>
    </row>
    <row r="29" spans="1:13" ht="12.75" customHeight="1">
      <c r="A29" s="20"/>
      <c r="B29" s="62"/>
      <c r="C29" s="20"/>
      <c r="D29" s="20"/>
      <c r="E29" s="20"/>
      <c r="F29" s="20"/>
      <c r="G29" s="20"/>
      <c r="H29" s="20"/>
      <c r="I29" s="20"/>
      <c r="J29" s="20"/>
      <c r="K29" s="20"/>
      <c r="L29" s="20"/>
      <c r="M29" s="22"/>
    </row>
    <row r="30" spans="1:13" ht="12.75" customHeight="1">
      <c r="A30" s="20"/>
      <c r="B30" s="129" t="s">
        <v>331</v>
      </c>
      <c r="C30" s="20"/>
      <c r="D30" s="20"/>
      <c r="E30" s="20"/>
      <c r="F30" s="20"/>
      <c r="G30" s="20"/>
      <c r="H30" s="20"/>
      <c r="I30" s="20"/>
      <c r="J30" s="20"/>
      <c r="K30" s="20"/>
      <c r="L30" s="20"/>
      <c r="M30" s="22"/>
    </row>
    <row r="31" spans="1:13" ht="12.75" customHeight="1">
      <c r="A31" s="20" t="s">
        <v>385</v>
      </c>
      <c r="B31" s="25" t="s">
        <v>404</v>
      </c>
      <c r="C31" s="20"/>
      <c r="D31" s="20"/>
      <c r="E31" s="20"/>
      <c r="F31" s="20"/>
      <c r="G31" s="20"/>
      <c r="H31" s="20"/>
      <c r="I31" s="20"/>
      <c r="J31" s="20"/>
      <c r="K31" s="20"/>
      <c r="L31" s="20"/>
      <c r="M31" s="22"/>
    </row>
    <row r="32" spans="1:13" ht="12.75" customHeight="1">
      <c r="A32" s="20"/>
      <c r="B32" s="318" t="s">
        <v>387</v>
      </c>
      <c r="C32" s="20"/>
      <c r="D32" s="20"/>
      <c r="E32" s="20"/>
      <c r="F32" s="20"/>
      <c r="G32" s="20"/>
      <c r="H32" s="20"/>
      <c r="I32" s="20"/>
      <c r="J32" s="20"/>
      <c r="K32" s="20"/>
      <c r="L32" s="20"/>
      <c r="M32" s="22"/>
    </row>
    <row r="33" spans="1:13" ht="12.75" customHeight="1">
      <c r="A33" s="20"/>
      <c r="B33" s="318" t="s">
        <v>388</v>
      </c>
      <c r="C33" s="20"/>
      <c r="D33" s="20"/>
      <c r="E33" s="20"/>
      <c r="F33" s="20"/>
      <c r="G33" s="20"/>
      <c r="H33" s="20"/>
      <c r="I33" s="20"/>
      <c r="J33" s="20"/>
      <c r="K33" s="20"/>
      <c r="L33" s="20"/>
      <c r="M33" s="22"/>
    </row>
    <row r="34" spans="1:13" ht="12.75" customHeight="1">
      <c r="A34" s="20" t="s">
        <v>386</v>
      </c>
      <c r="B34" s="282" t="s">
        <v>405</v>
      </c>
      <c r="C34" s="20"/>
      <c r="D34" s="20"/>
      <c r="E34" s="20"/>
      <c r="F34" s="20"/>
      <c r="G34" s="20"/>
      <c r="H34" s="20"/>
      <c r="I34" s="20"/>
      <c r="J34" s="20"/>
      <c r="K34" s="20"/>
      <c r="L34" s="20"/>
      <c r="M34" s="22"/>
    </row>
    <row r="35" spans="1:13" ht="12.75" customHeight="1">
      <c r="A35" s="20"/>
      <c r="B35" s="25" t="s">
        <v>406</v>
      </c>
      <c r="C35" s="20"/>
      <c r="D35" s="20"/>
      <c r="E35" s="20"/>
      <c r="F35" s="20"/>
      <c r="G35" s="20"/>
      <c r="H35" s="20"/>
      <c r="I35" s="20"/>
      <c r="J35" s="20"/>
      <c r="K35" s="20"/>
      <c r="L35" s="20"/>
      <c r="M35" s="22"/>
    </row>
    <row r="36" spans="1:13" ht="12.75" customHeight="1">
      <c r="A36" s="20"/>
      <c r="B36" s="25" t="s">
        <v>332</v>
      </c>
      <c r="C36" s="20"/>
      <c r="D36" s="20"/>
      <c r="E36" s="20"/>
      <c r="F36" s="20"/>
      <c r="G36" s="20"/>
      <c r="H36" s="20"/>
      <c r="I36" s="20"/>
      <c r="J36" s="20"/>
      <c r="K36" s="20"/>
      <c r="L36" s="20"/>
      <c r="M36" s="22"/>
    </row>
    <row r="37" spans="1:13" ht="12.75" customHeight="1">
      <c r="A37" s="20"/>
      <c r="B37" s="282" t="s">
        <v>407</v>
      </c>
      <c r="C37" s="20"/>
      <c r="D37" s="20"/>
      <c r="E37" s="20"/>
      <c r="F37" s="20"/>
      <c r="G37" s="20"/>
      <c r="H37" s="20"/>
      <c r="I37" s="20"/>
      <c r="J37" s="20"/>
      <c r="K37" s="20"/>
      <c r="L37" s="20"/>
      <c r="M37" s="22"/>
    </row>
    <row r="38" spans="1:13" ht="12.75" customHeight="1">
      <c r="A38" s="20"/>
      <c r="B38" s="370" t="s">
        <v>408</v>
      </c>
      <c r="C38" s="131"/>
      <c r="D38" s="131"/>
      <c r="E38" s="20"/>
      <c r="F38" s="20"/>
      <c r="G38" s="20"/>
      <c r="H38" s="20"/>
      <c r="I38" s="20"/>
      <c r="J38" s="20"/>
      <c r="K38" s="20"/>
      <c r="L38" s="20"/>
      <c r="M38" s="22"/>
    </row>
    <row r="39" spans="1:13" ht="13.5">
      <c r="A39" s="121"/>
      <c r="B39" s="133" t="s">
        <v>420</v>
      </c>
      <c r="C39" s="20"/>
      <c r="D39" s="132"/>
      <c r="E39" s="22"/>
      <c r="F39" s="122"/>
      <c r="G39" s="20"/>
      <c r="H39" s="20"/>
      <c r="I39" s="20"/>
      <c r="J39" s="20"/>
      <c r="K39" s="20"/>
      <c r="L39" s="20"/>
      <c r="M39" s="22"/>
    </row>
    <row r="40" spans="1:13" ht="12.75" customHeight="1">
      <c r="A40" s="20"/>
      <c r="B40" s="35"/>
      <c r="C40" s="20"/>
      <c r="D40" s="20"/>
      <c r="E40" s="20"/>
      <c r="F40" s="20"/>
      <c r="G40" s="20"/>
      <c r="H40" s="20"/>
      <c r="I40" s="20"/>
      <c r="J40" s="20"/>
      <c r="K40" s="20"/>
      <c r="L40" s="20"/>
      <c r="M40" s="22"/>
    </row>
    <row r="41" spans="1:13" ht="12.75" customHeight="1">
      <c r="A41" s="37"/>
      <c r="B41" s="36"/>
      <c r="C41" s="37"/>
      <c r="D41" s="37"/>
      <c r="E41" s="37"/>
      <c r="F41" s="37"/>
      <c r="G41" s="37"/>
      <c r="H41" s="37"/>
      <c r="I41" s="37"/>
      <c r="J41" s="37"/>
      <c r="K41" s="37"/>
      <c r="L41" s="37"/>
      <c r="M41" s="19"/>
    </row>
    <row r="42" spans="1:13" ht="12.75" customHeight="1">
      <c r="A42" s="37"/>
      <c r="B42" s="36"/>
      <c r="C42" s="37"/>
      <c r="D42" s="37"/>
      <c r="E42" s="37"/>
      <c r="F42" s="37"/>
      <c r="G42" s="37"/>
      <c r="H42" s="37"/>
      <c r="I42" s="37"/>
      <c r="J42" s="37"/>
      <c r="K42" s="37"/>
      <c r="L42" s="37"/>
      <c r="M42" s="19"/>
    </row>
    <row r="43" spans="1:13" ht="12.75" customHeight="1">
      <c r="A43" s="37"/>
      <c r="B43" s="36"/>
      <c r="C43" s="37"/>
      <c r="D43" s="37"/>
      <c r="E43" s="37"/>
      <c r="F43" s="37"/>
      <c r="G43" s="37"/>
      <c r="H43" s="37"/>
      <c r="I43" s="37"/>
      <c r="J43" s="37"/>
      <c r="K43" s="37"/>
      <c r="L43" s="37"/>
      <c r="M43" s="19"/>
    </row>
    <row r="44" spans="1:13" ht="12.75" customHeight="1">
      <c r="A44" s="37"/>
      <c r="B44" s="36"/>
      <c r="C44" s="37"/>
      <c r="D44" s="37"/>
      <c r="E44" s="37"/>
      <c r="F44" s="37"/>
      <c r="G44" s="37"/>
      <c r="H44" s="37"/>
      <c r="I44" s="37"/>
      <c r="J44" s="37"/>
      <c r="K44" s="37"/>
      <c r="L44" s="37"/>
      <c r="M44" s="19"/>
    </row>
    <row r="45" spans="1:13" ht="12.75" customHeight="1">
      <c r="A45" s="37"/>
      <c r="B45" s="36"/>
      <c r="C45" s="37"/>
      <c r="D45" s="37"/>
      <c r="E45" s="37"/>
      <c r="F45" s="37"/>
      <c r="G45" s="37"/>
      <c r="H45" s="37"/>
      <c r="I45" s="37"/>
      <c r="J45" s="37"/>
      <c r="K45" s="37"/>
      <c r="L45" s="37"/>
      <c r="M45" s="19"/>
    </row>
    <row r="46" spans="1:13" ht="12.75" customHeight="1">
      <c r="A46" s="37"/>
      <c r="B46" s="36"/>
      <c r="C46" s="37"/>
      <c r="D46" s="37"/>
      <c r="E46" s="37"/>
      <c r="F46" s="37"/>
      <c r="G46" s="37"/>
      <c r="H46" s="37"/>
      <c r="I46" s="37"/>
      <c r="J46" s="37"/>
      <c r="K46" s="37"/>
      <c r="L46" s="37"/>
      <c r="M46" s="19"/>
    </row>
    <row r="47" spans="1:13" ht="12.75" customHeight="1">
      <c r="A47" s="37"/>
      <c r="B47" s="36"/>
      <c r="C47" s="37"/>
      <c r="D47" s="37"/>
      <c r="E47" s="37"/>
      <c r="F47" s="37"/>
      <c r="G47" s="37"/>
      <c r="H47" s="37"/>
      <c r="I47" s="37"/>
      <c r="J47" s="37"/>
      <c r="K47" s="37"/>
      <c r="L47" s="37"/>
      <c r="M47" s="19"/>
    </row>
    <row r="48" spans="1:13" ht="12.75" customHeight="1">
      <c r="A48" s="37"/>
      <c r="B48" s="36"/>
      <c r="C48" s="37"/>
      <c r="D48" s="37"/>
      <c r="E48" s="37"/>
      <c r="F48" s="37"/>
      <c r="G48" s="37"/>
      <c r="H48" s="37"/>
      <c r="I48" s="37"/>
      <c r="J48" s="37"/>
      <c r="K48" s="37"/>
      <c r="L48" s="37"/>
      <c r="M48" s="19"/>
    </row>
    <row r="49" spans="1:13" ht="12.75" customHeight="1">
      <c r="A49" s="37"/>
      <c r="B49" s="382" t="s">
        <v>423</v>
      </c>
      <c r="C49" s="383"/>
      <c r="D49" s="384"/>
      <c r="E49" s="37"/>
      <c r="F49" s="37"/>
      <c r="G49" s="37"/>
      <c r="H49" s="37"/>
      <c r="I49" s="37"/>
      <c r="J49" s="37"/>
      <c r="K49" s="37"/>
      <c r="L49" s="37"/>
      <c r="M49" s="19"/>
    </row>
    <row r="50" spans="1:13" ht="12.75" customHeight="1">
      <c r="A50" s="37"/>
      <c r="B50" s="381" t="s">
        <v>421</v>
      </c>
      <c r="C50" s="380"/>
      <c r="D50" s="385">
        <v>0.25</v>
      </c>
      <c r="E50" s="37"/>
      <c r="F50" s="37"/>
      <c r="G50" s="37"/>
      <c r="H50" s="37"/>
      <c r="I50" s="37"/>
      <c r="J50" s="37"/>
      <c r="K50" s="37"/>
      <c r="L50" s="37"/>
      <c r="M50" s="19"/>
    </row>
    <row r="51" spans="1:13" ht="12.75" customHeight="1">
      <c r="A51" s="37"/>
      <c r="B51" s="381" t="s">
        <v>422</v>
      </c>
      <c r="C51" s="380"/>
      <c r="D51" s="385">
        <v>0.75</v>
      </c>
      <c r="E51" s="37"/>
      <c r="F51" s="37"/>
      <c r="G51" s="37"/>
      <c r="H51" s="37"/>
      <c r="I51" s="37"/>
      <c r="J51" s="37"/>
      <c r="K51" s="37"/>
      <c r="L51" s="37"/>
      <c r="M51" s="19"/>
    </row>
    <row r="52" spans="1:13" ht="12.75" customHeight="1">
      <c r="A52" s="37"/>
      <c r="B52" s="36"/>
      <c r="C52" s="37"/>
      <c r="D52" s="37"/>
      <c r="E52" s="37"/>
      <c r="F52" s="37"/>
      <c r="G52" s="37"/>
      <c r="H52" s="37"/>
      <c r="I52" s="37"/>
      <c r="J52" s="37"/>
      <c r="K52" s="37"/>
      <c r="L52" s="37"/>
      <c r="M52" s="19"/>
    </row>
    <row r="53" spans="1:13" ht="12.75" customHeight="1">
      <c r="A53" s="37"/>
      <c r="B53" s="36"/>
      <c r="C53" s="37"/>
      <c r="D53" s="37"/>
      <c r="E53" s="37"/>
      <c r="F53" s="37"/>
      <c r="G53" s="37"/>
      <c r="H53" s="37"/>
      <c r="I53" s="37"/>
      <c r="J53" s="37"/>
      <c r="K53" s="37"/>
      <c r="L53" s="37"/>
      <c r="M53" s="19"/>
    </row>
    <row r="54" spans="1:13" ht="12.75" customHeight="1">
      <c r="A54" s="37"/>
      <c r="B54" s="36"/>
      <c r="C54" s="37"/>
      <c r="D54" s="37"/>
      <c r="E54" s="37"/>
      <c r="F54" s="37"/>
      <c r="G54" s="37"/>
      <c r="H54" s="37"/>
      <c r="I54" s="37"/>
      <c r="J54" s="37"/>
      <c r="K54" s="37"/>
      <c r="L54" s="37"/>
      <c r="M54" s="19"/>
    </row>
    <row r="55" spans="1:13" ht="12.75" customHeight="1">
      <c r="A55" s="37"/>
      <c r="B55" s="36"/>
      <c r="C55" s="37"/>
      <c r="D55" s="37"/>
      <c r="E55" s="37"/>
      <c r="F55" s="37"/>
      <c r="G55" s="37"/>
      <c r="H55" s="37"/>
      <c r="I55" s="37"/>
      <c r="J55" s="37"/>
      <c r="K55" s="37"/>
      <c r="L55" s="37"/>
      <c r="M55" s="19"/>
    </row>
    <row r="56" spans="1:13" ht="12.75" customHeight="1">
      <c r="A56" s="37"/>
      <c r="B56" s="36"/>
      <c r="C56" s="37"/>
      <c r="D56" s="37"/>
      <c r="E56" s="37"/>
      <c r="F56" s="37"/>
      <c r="G56" s="37"/>
      <c r="H56" s="37"/>
      <c r="I56" s="37"/>
      <c r="J56" s="37"/>
      <c r="K56" s="37"/>
      <c r="L56" s="37"/>
      <c r="M56" s="19"/>
    </row>
    <row r="57" spans="1:13" ht="12.75" customHeight="1">
      <c r="A57" s="37"/>
      <c r="B57" s="36"/>
      <c r="C57" s="37"/>
      <c r="D57" s="37"/>
      <c r="E57" s="37"/>
      <c r="F57" s="37"/>
      <c r="G57" s="37"/>
      <c r="H57" s="37"/>
      <c r="I57" s="37"/>
      <c r="J57" s="37"/>
      <c r="K57" s="37"/>
      <c r="L57" s="37"/>
      <c r="M57" s="19"/>
    </row>
    <row r="58" spans="1:13" ht="12.75" customHeight="1">
      <c r="A58" s="37"/>
      <c r="B58" s="36"/>
      <c r="C58" s="37"/>
      <c r="D58" s="37"/>
      <c r="E58" s="37"/>
      <c r="F58" s="37"/>
      <c r="G58" s="37"/>
      <c r="H58" s="37"/>
      <c r="I58" s="37"/>
      <c r="J58" s="37"/>
      <c r="K58" s="37"/>
      <c r="L58" s="37"/>
      <c r="M58" s="19"/>
    </row>
    <row r="59" spans="1:13" ht="12.75" customHeight="1">
      <c r="A59" s="37"/>
      <c r="B59" s="36"/>
      <c r="C59" s="37"/>
      <c r="D59" s="37"/>
      <c r="E59" s="37"/>
      <c r="F59" s="37"/>
      <c r="G59" s="37"/>
      <c r="H59" s="37"/>
      <c r="I59" s="37"/>
      <c r="J59" s="37"/>
      <c r="K59" s="37"/>
      <c r="L59" s="37"/>
      <c r="M59" s="19"/>
    </row>
    <row r="60" spans="1:13" ht="12.75" customHeight="1">
      <c r="A60" s="37"/>
      <c r="B60" s="36"/>
      <c r="C60" s="37"/>
      <c r="D60" s="37"/>
      <c r="E60" s="37"/>
      <c r="F60" s="37"/>
      <c r="G60" s="37"/>
      <c r="H60" s="37"/>
      <c r="I60" s="37"/>
      <c r="J60" s="37"/>
      <c r="K60" s="37"/>
      <c r="L60" s="37"/>
      <c r="M60" s="19"/>
    </row>
    <row r="61" spans="1:13" ht="12.75" customHeight="1">
      <c r="A61" s="37"/>
      <c r="B61" s="36"/>
      <c r="C61" s="37"/>
      <c r="D61" s="37"/>
      <c r="E61" s="37"/>
      <c r="F61" s="37"/>
      <c r="G61" s="37"/>
      <c r="H61" s="37"/>
      <c r="I61" s="37"/>
      <c r="J61" s="37"/>
      <c r="K61" s="37"/>
      <c r="L61" s="37"/>
      <c r="M61" s="19"/>
    </row>
    <row r="62" spans="1:13" ht="12.75" customHeight="1">
      <c r="A62" s="37"/>
      <c r="B62" s="36"/>
      <c r="C62" s="37"/>
      <c r="D62" s="37"/>
      <c r="E62" s="37"/>
      <c r="F62" s="37"/>
      <c r="G62" s="37"/>
      <c r="H62" s="37"/>
      <c r="I62" s="37"/>
      <c r="J62" s="37"/>
      <c r="K62" s="37"/>
      <c r="L62" s="37"/>
      <c r="M62" s="19"/>
    </row>
    <row r="63" spans="1:13" ht="12.75" customHeight="1">
      <c r="A63" s="37"/>
      <c r="B63" s="36"/>
      <c r="C63" s="37"/>
      <c r="D63" s="37"/>
      <c r="E63" s="37"/>
      <c r="F63" s="37"/>
      <c r="G63" s="37"/>
      <c r="H63" s="37"/>
      <c r="I63" s="37"/>
      <c r="J63" s="37"/>
      <c r="K63" s="37"/>
      <c r="L63" s="37"/>
      <c r="M63" s="19"/>
    </row>
    <row r="64" spans="1:13" ht="12.75" customHeight="1">
      <c r="A64" s="37"/>
      <c r="B64" s="36"/>
      <c r="C64" s="37"/>
      <c r="D64" s="37"/>
      <c r="E64" s="37"/>
      <c r="F64" s="37"/>
      <c r="G64" s="37"/>
      <c r="H64" s="37"/>
      <c r="I64" s="37"/>
      <c r="J64" s="37"/>
      <c r="K64" s="37"/>
      <c r="L64" s="37"/>
      <c r="M64" s="19"/>
    </row>
    <row r="65" spans="1:13" ht="12.75" customHeight="1">
      <c r="A65" s="37"/>
      <c r="B65" s="36"/>
      <c r="C65" s="37"/>
      <c r="D65" s="37"/>
      <c r="E65" s="37"/>
      <c r="F65" s="37"/>
      <c r="G65" s="37"/>
      <c r="H65" s="37"/>
      <c r="I65" s="37"/>
      <c r="J65" s="37"/>
      <c r="K65" s="37"/>
      <c r="L65" s="37"/>
      <c r="M65" s="19"/>
    </row>
    <row r="66" spans="1:13" ht="12.75" customHeight="1">
      <c r="A66" s="37"/>
      <c r="B66" s="36"/>
      <c r="C66" s="37"/>
      <c r="D66" s="37"/>
      <c r="E66" s="37"/>
      <c r="F66" s="37"/>
      <c r="G66" s="37"/>
      <c r="H66" s="37"/>
      <c r="I66" s="37"/>
      <c r="J66" s="37"/>
      <c r="K66" s="37"/>
      <c r="L66" s="37"/>
      <c r="M66" s="19"/>
    </row>
    <row r="67" spans="1:13" ht="12.75" customHeight="1">
      <c r="A67" s="37"/>
      <c r="B67" s="36"/>
      <c r="C67" s="37"/>
      <c r="D67" s="37"/>
      <c r="E67" s="37"/>
      <c r="F67" s="37"/>
      <c r="G67" s="37"/>
      <c r="H67" s="37"/>
      <c r="I67" s="37"/>
      <c r="J67" s="37"/>
      <c r="K67" s="37"/>
      <c r="L67" s="37"/>
      <c r="M67" s="19"/>
    </row>
    <row r="68" spans="1:13" ht="12.75" customHeight="1">
      <c r="A68" s="37"/>
      <c r="B68" s="36"/>
      <c r="C68" s="37"/>
      <c r="D68" s="37"/>
      <c r="E68" s="37"/>
      <c r="F68" s="37"/>
      <c r="G68" s="37"/>
      <c r="H68" s="37"/>
      <c r="I68" s="37"/>
      <c r="J68" s="37"/>
      <c r="K68" s="37"/>
      <c r="L68" s="37"/>
      <c r="M68" s="19"/>
    </row>
    <row r="69" spans="1:13" ht="12.75" customHeight="1">
      <c r="A69" s="37"/>
      <c r="B69" s="36"/>
      <c r="C69" s="37"/>
      <c r="D69" s="37"/>
      <c r="E69" s="37"/>
      <c r="F69" s="37"/>
      <c r="G69" s="37"/>
      <c r="H69" s="37"/>
      <c r="I69" s="37"/>
      <c r="J69" s="37"/>
      <c r="K69" s="37"/>
      <c r="L69" s="37"/>
      <c r="M69" s="19"/>
    </row>
    <row r="70" spans="1:13" ht="12.75" customHeight="1">
      <c r="A70" s="37"/>
      <c r="B70" s="36"/>
      <c r="C70" s="37"/>
      <c r="D70" s="37"/>
      <c r="E70" s="37"/>
      <c r="F70" s="37"/>
      <c r="G70" s="37"/>
      <c r="H70" s="37"/>
      <c r="I70" s="37"/>
      <c r="J70" s="37"/>
      <c r="K70" s="37"/>
      <c r="L70" s="37"/>
      <c r="M70" s="19"/>
    </row>
    <row r="71" spans="1:13" ht="12.75" customHeight="1">
      <c r="A71" s="37"/>
      <c r="B71" s="36"/>
      <c r="C71" s="37"/>
      <c r="D71" s="37"/>
      <c r="E71" s="37"/>
      <c r="F71" s="37"/>
      <c r="G71" s="37"/>
      <c r="H71" s="37"/>
      <c r="I71" s="37"/>
      <c r="J71" s="37"/>
      <c r="K71" s="37"/>
      <c r="L71" s="37"/>
      <c r="M71" s="19"/>
    </row>
    <row r="72" spans="1:13" ht="12.75" customHeight="1">
      <c r="A72" s="37"/>
      <c r="B72" s="36"/>
      <c r="C72" s="37"/>
      <c r="D72" s="37"/>
      <c r="E72" s="37"/>
      <c r="F72" s="37"/>
      <c r="G72" s="37"/>
      <c r="H72" s="37"/>
      <c r="I72" s="37"/>
      <c r="J72" s="37"/>
      <c r="K72" s="37"/>
      <c r="L72" s="37"/>
      <c r="M72" s="19"/>
    </row>
    <row r="73" spans="1:13" ht="13.5">
      <c r="A73" s="378"/>
      <c r="B73" s="19"/>
      <c r="C73" s="19"/>
      <c r="D73" s="19"/>
      <c r="E73" s="19"/>
      <c r="F73" s="379"/>
      <c r="G73" s="37"/>
      <c r="H73" s="37"/>
      <c r="I73" s="37"/>
      <c r="J73" s="37"/>
      <c r="K73" s="37"/>
      <c r="L73" s="37"/>
      <c r="M73" s="19"/>
    </row>
    <row r="74" s="37" customFormat="1" ht="12.75">
      <c r="F74" s="324"/>
    </row>
    <row r="75" spans="1:13" ht="13.5">
      <c r="A75" s="326" t="s">
        <v>391</v>
      </c>
      <c r="B75" s="284"/>
      <c r="C75"/>
      <c r="D75"/>
      <c r="E75"/>
      <c r="F75"/>
      <c r="G75"/>
      <c r="H75"/>
      <c r="I75"/>
      <c r="J75" s="37"/>
      <c r="K75" s="37"/>
      <c r="L75" s="37"/>
      <c r="M75" s="19"/>
    </row>
    <row r="76" spans="1:12" ht="13.5">
      <c r="A76" s="5"/>
      <c r="B76" s="332"/>
      <c r="C76" s="441" t="s">
        <v>392</v>
      </c>
      <c r="D76" s="441"/>
      <c r="E76" s="441" t="s">
        <v>393</v>
      </c>
      <c r="F76" s="441"/>
      <c r="G76" s="441" t="s">
        <v>394</v>
      </c>
      <c r="H76" s="441"/>
      <c r="I76" s="37"/>
      <c r="J76" s="37"/>
      <c r="K76" s="37"/>
      <c r="L76" s="19"/>
    </row>
    <row r="77" spans="1:12" ht="13.5">
      <c r="A77" s="5"/>
      <c r="B77" s="328" t="s">
        <v>400</v>
      </c>
      <c r="C77" s="327" t="s">
        <v>395</v>
      </c>
      <c r="D77" s="327" t="s">
        <v>396</v>
      </c>
      <c r="E77" s="327" t="s">
        <v>395</v>
      </c>
      <c r="F77" s="327" t="s">
        <v>396</v>
      </c>
      <c r="G77" s="327" t="s">
        <v>395</v>
      </c>
      <c r="H77" s="327" t="s">
        <v>396</v>
      </c>
      <c r="I77" s="37"/>
      <c r="J77" s="37"/>
      <c r="K77" s="37"/>
      <c r="L77" s="19"/>
    </row>
    <row r="78" spans="1:12" ht="13.5">
      <c r="A78" s="5"/>
      <c r="B78" s="328">
        <v>35</v>
      </c>
      <c r="C78" s="334">
        <v>0.04</v>
      </c>
      <c r="D78" s="334">
        <v>0.02</v>
      </c>
      <c r="E78" s="334">
        <v>0.34</v>
      </c>
      <c r="F78" s="334">
        <v>0.12</v>
      </c>
      <c r="G78" s="334">
        <v>0.76</v>
      </c>
      <c r="H78" s="334">
        <v>0.26</v>
      </c>
      <c r="I78" s="37"/>
      <c r="J78" s="37"/>
      <c r="K78" s="37"/>
      <c r="L78" s="19"/>
    </row>
    <row r="79" spans="1:12" ht="13.5">
      <c r="A79" s="5"/>
      <c r="B79" s="328">
        <v>45</v>
      </c>
      <c r="C79" s="334">
        <v>0.13</v>
      </c>
      <c r="D79" s="334">
        <v>0.03</v>
      </c>
      <c r="E79" s="334">
        <v>0.51</v>
      </c>
      <c r="F79" s="334">
        <v>0.22</v>
      </c>
      <c r="G79" s="334">
        <v>0.87</v>
      </c>
      <c r="H79" s="334">
        <v>0.55</v>
      </c>
      <c r="I79" s="37"/>
      <c r="J79" s="37"/>
      <c r="K79" s="37"/>
      <c r="L79" s="19"/>
    </row>
    <row r="80" spans="1:12" ht="13.5">
      <c r="A80" s="5"/>
      <c r="B80" s="328">
        <v>55</v>
      </c>
      <c r="C80" s="334">
        <v>0.2</v>
      </c>
      <c r="D80" s="334">
        <v>0.07</v>
      </c>
      <c r="E80" s="334">
        <v>0.65</v>
      </c>
      <c r="F80" s="334">
        <v>0.31</v>
      </c>
      <c r="G80" s="334">
        <v>0.93</v>
      </c>
      <c r="H80" s="334">
        <v>0.73</v>
      </c>
      <c r="I80" s="37"/>
      <c r="J80" s="37"/>
      <c r="K80" s="37"/>
      <c r="L80" s="19"/>
    </row>
    <row r="81" spans="1:12" ht="13.5">
      <c r="A81" s="5"/>
      <c r="B81" s="328">
        <v>65</v>
      </c>
      <c r="C81" s="334">
        <v>0.27</v>
      </c>
      <c r="D81" s="334">
        <v>0.14</v>
      </c>
      <c r="E81" s="334">
        <v>0.72</v>
      </c>
      <c r="F81" s="334">
        <v>0.51</v>
      </c>
      <c r="G81" s="334">
        <v>0.94</v>
      </c>
      <c r="H81" s="334">
        <v>0.86</v>
      </c>
      <c r="I81" s="37"/>
      <c r="J81" s="37"/>
      <c r="K81" s="37"/>
      <c r="L81" s="19"/>
    </row>
    <row r="82" spans="1:12" ht="13.5">
      <c r="A82"/>
      <c r="B82" s="332">
        <v>75</v>
      </c>
      <c r="C82"/>
      <c r="D82"/>
      <c r="E82"/>
      <c r="F82"/>
      <c r="G82"/>
      <c r="H82"/>
      <c r="I82"/>
      <c r="J82" s="41"/>
      <c r="K82" s="41"/>
      <c r="L82" s="41"/>
    </row>
    <row r="83" spans="1:12" ht="13.5">
      <c r="A83" s="387" t="s">
        <v>191</v>
      </c>
      <c r="B83" s="329"/>
      <c r="C83"/>
      <c r="D83"/>
      <c r="E83"/>
      <c r="F83"/>
      <c r="G83"/>
      <c r="H83"/>
      <c r="I83"/>
      <c r="J83" s="41"/>
      <c r="K83" s="41"/>
      <c r="L83" s="41"/>
    </row>
    <row r="84" spans="1:9" ht="13.5">
      <c r="A84" s="330" t="s">
        <v>381</v>
      </c>
      <c r="B84" s="329"/>
      <c r="C84"/>
      <c r="D84"/>
      <c r="E84"/>
      <c r="F84"/>
      <c r="G84"/>
      <c r="H84"/>
      <c r="I84"/>
    </row>
    <row r="85" spans="1:9" ht="13.5">
      <c r="A85" s="331" t="s">
        <v>397</v>
      </c>
      <c r="B85" s="331"/>
      <c r="C85"/>
      <c r="D85"/>
      <c r="E85"/>
      <c r="F85"/>
      <c r="G85"/>
      <c r="H85"/>
      <c r="I85"/>
    </row>
    <row r="86" spans="1:9" ht="13.5">
      <c r="A86" s="331" t="s">
        <v>398</v>
      </c>
      <c r="B86" s="331"/>
      <c r="C86"/>
      <c r="D86"/>
      <c r="E86"/>
      <c r="F86"/>
      <c r="G86"/>
      <c r="H86"/>
      <c r="I86"/>
    </row>
    <row r="87" spans="1:9" ht="13.5">
      <c r="A87" s="331" t="s">
        <v>399</v>
      </c>
      <c r="B87" s="331"/>
      <c r="C87"/>
      <c r="D87"/>
      <c r="E87"/>
      <c r="F87"/>
      <c r="G87"/>
      <c r="H87"/>
      <c r="I87"/>
    </row>
    <row r="88" spans="2:6" s="37" customFormat="1" ht="12.75">
      <c r="B88" s="325"/>
      <c r="F88" s="324"/>
    </row>
    <row r="89" spans="1:12" s="323" customFormat="1" ht="13.5">
      <c r="A89" s="322"/>
      <c r="B89" s="37"/>
      <c r="C89" s="37"/>
      <c r="F89" s="324"/>
      <c r="G89" s="37"/>
      <c r="H89" s="37"/>
      <c r="I89" s="37"/>
      <c r="J89" s="37"/>
      <c r="K89" s="37"/>
      <c r="L89" s="37"/>
    </row>
    <row r="90" spans="1:13" ht="12.75" customHeight="1">
      <c r="A90" s="37"/>
      <c r="B90" s="333" t="s">
        <v>384</v>
      </c>
      <c r="C90" s="37"/>
      <c r="D90" s="37"/>
      <c r="E90" s="37"/>
      <c r="F90" s="37"/>
      <c r="G90" s="37"/>
      <c r="H90" s="37"/>
      <c r="I90" s="37"/>
      <c r="J90" s="37"/>
      <c r="K90" s="37"/>
      <c r="L90" s="37"/>
      <c r="M90" s="19"/>
    </row>
    <row r="91" spans="1:13" ht="12.75" customHeight="1">
      <c r="A91" s="37"/>
      <c r="B91" s="36" t="s">
        <v>77</v>
      </c>
      <c r="C91" s="38">
        <f>$C$8+$C$9+$C$10+$C$11+$C$12+$C$13</f>
        <v>0</v>
      </c>
      <c r="D91" s="37"/>
      <c r="E91" s="37"/>
      <c r="F91" s="37"/>
      <c r="G91" s="37"/>
      <c r="H91" s="37"/>
      <c r="I91" s="37"/>
      <c r="J91" s="37"/>
      <c r="K91" s="37"/>
      <c r="L91" s="37"/>
      <c r="M91" s="19"/>
    </row>
    <row r="92" spans="1:13" ht="12.75" customHeight="1">
      <c r="A92" s="37"/>
      <c r="B92" s="36" t="s">
        <v>78</v>
      </c>
      <c r="C92" s="38">
        <f>IF($C$8*$C$9*$C$10=1,2,IF($C$91&gt;3,2,IF($C$11*$C$12*$C$13=1,1,IF($C$91&gt;1,1,0))))</f>
        <v>0</v>
      </c>
      <c r="D92" s="37"/>
      <c r="E92" s="37"/>
      <c r="F92" s="37"/>
      <c r="G92" s="37"/>
      <c r="H92" s="37"/>
      <c r="I92" s="37"/>
      <c r="J92" s="37"/>
      <c r="K92" s="37"/>
      <c r="L92" s="37"/>
      <c r="M92" s="19"/>
    </row>
    <row r="93" spans="1:13" ht="12.75" customHeight="1">
      <c r="A93" s="37"/>
      <c r="B93" s="36" t="s">
        <v>79</v>
      </c>
      <c r="C93" s="39">
        <f>IF($C$92=2,1,0)</f>
        <v>0</v>
      </c>
      <c r="D93" s="37"/>
      <c r="E93" s="37"/>
      <c r="F93" s="37"/>
      <c r="G93" s="37"/>
      <c r="H93" s="37"/>
      <c r="I93" s="37"/>
      <c r="J93" s="37"/>
      <c r="K93" s="37"/>
      <c r="L93" s="37"/>
      <c r="M93" s="19"/>
    </row>
    <row r="94" spans="1:13" ht="12.75" customHeight="1">
      <c r="A94" s="37"/>
      <c r="B94" s="36" t="s">
        <v>80</v>
      </c>
      <c r="C94" s="39">
        <f>IF($C$92=1,1,0)</f>
        <v>0</v>
      </c>
      <c r="D94" s="37"/>
      <c r="E94" s="37"/>
      <c r="F94" s="37"/>
      <c r="G94" s="37"/>
      <c r="H94" s="37"/>
      <c r="I94" s="37"/>
      <c r="J94" s="37"/>
      <c r="K94" s="37"/>
      <c r="L94" s="37"/>
      <c r="M94" s="19"/>
    </row>
    <row r="95" spans="1:13" ht="12.75" customHeight="1">
      <c r="A95" s="37"/>
      <c r="B95" s="36" t="s">
        <v>81</v>
      </c>
      <c r="C95" s="39">
        <f>IF($C$20&gt;6.4,1,0)</f>
        <v>0</v>
      </c>
      <c r="D95" s="37"/>
      <c r="E95" s="37"/>
      <c r="F95" s="37"/>
      <c r="G95" s="37"/>
      <c r="H95" s="37"/>
      <c r="I95" s="37"/>
      <c r="J95" s="37"/>
      <c r="K95" s="37"/>
      <c r="L95" s="37"/>
      <c r="M95" s="19"/>
    </row>
    <row r="96" spans="1:13" ht="12.75" customHeight="1">
      <c r="A96" s="37"/>
      <c r="B96" s="36" t="s">
        <v>82</v>
      </c>
      <c r="C96" s="39">
        <f>$C$5*$C$6</f>
        <v>0</v>
      </c>
      <c r="D96" s="37"/>
      <c r="E96" s="37"/>
      <c r="F96" s="37"/>
      <c r="G96" s="37"/>
      <c r="H96" s="37"/>
      <c r="I96" s="37"/>
      <c r="J96" s="37"/>
      <c r="K96" s="37"/>
      <c r="L96" s="37"/>
      <c r="M96" s="19"/>
    </row>
    <row r="97" spans="1:13" ht="12.75" customHeight="1">
      <c r="A97" s="37"/>
      <c r="B97" s="36" t="s">
        <v>83</v>
      </c>
      <c r="C97" s="39">
        <f>$C$5*$C$19</f>
        <v>0</v>
      </c>
      <c r="D97" s="37"/>
      <c r="E97" s="37"/>
      <c r="F97" s="37"/>
      <c r="G97" s="37"/>
      <c r="H97" s="37"/>
      <c r="I97" s="37"/>
      <c r="J97" s="37"/>
      <c r="K97" s="37"/>
      <c r="L97" s="37"/>
      <c r="M97" s="19"/>
    </row>
    <row r="98" spans="1:13" ht="12.75" customHeight="1">
      <c r="A98" s="37"/>
      <c r="B98" s="36" t="s">
        <v>84</v>
      </c>
      <c r="C98" s="39">
        <f>$C$5*$C$95</f>
        <v>0</v>
      </c>
      <c r="D98" s="37"/>
      <c r="E98" s="37"/>
      <c r="F98" s="37"/>
      <c r="G98" s="37"/>
      <c r="H98" s="37"/>
      <c r="I98" s="37"/>
      <c r="J98" s="37"/>
      <c r="K98" s="37"/>
      <c r="L98" s="37"/>
      <c r="M98" s="19"/>
    </row>
    <row r="99" spans="1:13" ht="12.75" customHeight="1">
      <c r="A99" s="37"/>
      <c r="B99" s="36" t="s">
        <v>85</v>
      </c>
      <c r="C99" s="39">
        <f>$C$6*$C$19</f>
        <v>0</v>
      </c>
      <c r="D99" s="37"/>
      <c r="E99" s="37"/>
      <c r="F99" s="37"/>
      <c r="G99" s="37"/>
      <c r="H99" s="37"/>
      <c r="I99" s="37"/>
      <c r="J99" s="37"/>
      <c r="K99" s="37"/>
      <c r="L99" s="37"/>
      <c r="M99" s="19"/>
    </row>
    <row r="100" spans="1:13" ht="12.75" customHeight="1">
      <c r="A100" s="37"/>
      <c r="B100" s="36" t="s">
        <v>86</v>
      </c>
      <c r="C100" s="39">
        <f>$C$22*$C$23</f>
        <v>0</v>
      </c>
      <c r="D100" s="37"/>
      <c r="E100" s="37"/>
      <c r="F100" s="37"/>
      <c r="G100" s="37"/>
      <c r="H100" s="37"/>
      <c r="I100" s="37"/>
      <c r="J100" s="37"/>
      <c r="K100" s="37"/>
      <c r="L100" s="37"/>
      <c r="M100" s="19"/>
    </row>
    <row r="101" spans="1:13" ht="12.75" customHeight="1">
      <c r="A101" s="37"/>
      <c r="B101" s="36" t="s">
        <v>87</v>
      </c>
      <c r="C101" s="39">
        <f>(-0.0301*C96)+(C210-0.0404*C97)+(-0.0251*C98)+(0.55*C99)+(0.741*C100)</f>
        <v>0</v>
      </c>
      <c r="D101" s="37"/>
      <c r="E101" s="37"/>
      <c r="F101" s="37"/>
      <c r="G101" s="37"/>
      <c r="H101" s="37"/>
      <c r="I101" s="37"/>
      <c r="J101" s="37"/>
      <c r="K101" s="37"/>
      <c r="L101" s="37"/>
      <c r="M101" s="19"/>
    </row>
    <row r="102" spans="1:13" ht="12.75" customHeight="1">
      <c r="A102" s="37"/>
      <c r="B102" s="36" t="s">
        <v>88</v>
      </c>
      <c r="C102" s="39">
        <f>(-7.376+(0.1126*$C$5)+(-0.328*$C$6)+(2.596*$C$19)+(1.845*$C$95)+(0.694*$C$21)+(2.581*$C$93)+(0.976*$C$94)+(1.093*$C$22)+(1.213*C23)+(0.637*$C$24)+($C$101))</f>
        <v>-1.1829999999999998</v>
      </c>
      <c r="D102" s="37"/>
      <c r="E102" s="37"/>
      <c r="F102" s="37"/>
      <c r="G102" s="37"/>
      <c r="H102" s="37"/>
      <c r="I102" s="37"/>
      <c r="J102" s="37"/>
      <c r="K102" s="37"/>
      <c r="L102" s="37"/>
      <c r="M102" s="19"/>
    </row>
    <row r="103" spans="1:13" ht="12.75" customHeight="1">
      <c r="A103" s="37"/>
      <c r="B103" s="36" t="s">
        <v>89</v>
      </c>
      <c r="C103" s="40">
        <f>EXP(-$C$102)</f>
        <v>3.2641519848379263</v>
      </c>
      <c r="D103" s="37"/>
      <c r="E103" s="37"/>
      <c r="F103" s="37"/>
      <c r="G103" s="37"/>
      <c r="H103" s="37"/>
      <c r="I103" s="37"/>
      <c r="J103" s="37"/>
      <c r="K103" s="37"/>
      <c r="L103" s="37"/>
      <c r="M103" s="19"/>
    </row>
    <row r="104" spans="1:13" ht="12.75" customHeight="1">
      <c r="A104" s="37"/>
      <c r="B104" s="36" t="s">
        <v>90</v>
      </c>
      <c r="C104" s="39">
        <f>1/(1+$C$103)</f>
        <v>0.23451321706067385</v>
      </c>
      <c r="D104" s="37"/>
      <c r="E104" s="37"/>
      <c r="F104" s="37"/>
      <c r="G104" s="37"/>
      <c r="H104" s="37"/>
      <c r="I104" s="37"/>
      <c r="J104" s="37"/>
      <c r="K104" s="37"/>
      <c r="L104" s="37"/>
      <c r="M104" s="19"/>
    </row>
    <row r="105" spans="1:13" ht="13.5">
      <c r="A105" s="37"/>
      <c r="B105" s="37"/>
      <c r="C105" s="37">
        <f>1/(1+EXP(-(-7.376+(0.1126*$C$5)+(-0.328*$C$6)+(2.596*$C$19)+(1.845*IF($C$20&gt;6.4,1,0))+(0.694*$C$21)+(2.581*$C$93)+(0.976*$C$94)+(1.093*$C$22)+(1.213*$C$23)+(0.637*$C$24)+($C$101))))</f>
        <v>0.23451321706067385</v>
      </c>
      <c r="D105" s="37"/>
      <c r="E105" s="37"/>
      <c r="F105" s="37"/>
      <c r="G105" s="37"/>
      <c r="H105" s="37"/>
      <c r="I105" s="37"/>
      <c r="J105" s="37"/>
      <c r="K105" s="37"/>
      <c r="L105" s="37"/>
      <c r="M105" s="19"/>
    </row>
    <row r="106" spans="1:13" ht="13.5">
      <c r="A106" s="37"/>
      <c r="B106" s="37"/>
      <c r="C106" s="37"/>
      <c r="D106" s="37"/>
      <c r="E106" s="37"/>
      <c r="F106" s="37"/>
      <c r="G106" s="37"/>
      <c r="H106" s="37"/>
      <c r="I106" s="37"/>
      <c r="J106" s="37"/>
      <c r="K106" s="37"/>
      <c r="L106" s="37"/>
      <c r="M106" s="19"/>
    </row>
  </sheetData>
  <sheetProtection password="CA27" sheet="1" objects="1" scenarios="1"/>
  <mergeCells count="8">
    <mergeCell ref="B7:D7"/>
    <mergeCell ref="B4:D4"/>
    <mergeCell ref="C76:D76"/>
    <mergeCell ref="E76:F76"/>
    <mergeCell ref="G76:H76"/>
    <mergeCell ref="C14:D14"/>
    <mergeCell ref="B27:D27"/>
    <mergeCell ref="B18:D18"/>
  </mergeCells>
  <conditionalFormatting sqref="C14:D14">
    <cfRule type="cellIs" priority="1" dxfId="5" operator="equal" stopIfTrue="1">
      <formula>"None/Non-Anginal"</formula>
    </cfRule>
    <cfRule type="cellIs" priority="2" dxfId="4" operator="equal" stopIfTrue="1">
      <formula>"Chest Pain ? Cause"</formula>
    </cfRule>
    <cfRule type="cellIs" priority="3" dxfId="1" operator="equal" stopIfTrue="1">
      <formula>"Typical Angina"</formula>
    </cfRule>
  </conditionalFormatting>
  <conditionalFormatting sqref="C25 C15:C16">
    <cfRule type="cellIs" priority="4" dxfId="1" operator="greaterThanOrEqual" stopIfTrue="1">
      <formula>0.75</formula>
    </cfRule>
    <cfRule type="cellIs" priority="5" dxfId="4" operator="between" stopIfTrue="1">
      <formula>0.25</formula>
      <formula>0.74999</formula>
    </cfRule>
    <cfRule type="cellIs" priority="6" dxfId="5" operator="lessThan" stopIfTrue="1">
      <formula>0.25</formula>
    </cfRule>
  </conditionalFormatting>
  <conditionalFormatting sqref="B27:D27">
    <cfRule type="expression" priority="7" dxfId="1" stopIfTrue="1">
      <formula>$C$25&gt;0.74999</formula>
    </cfRule>
    <cfRule type="expression" priority="8" dxfId="4" stopIfTrue="1">
      <formula>$C$25&gt;0.25</formula>
    </cfRule>
  </conditionalFormatting>
  <dataValidations count="4">
    <dataValidation type="whole" showInputMessage="1" showErrorMessage="1" errorTitle="Input error" error="Please enter&#10; 0 for Male&#10; 1 for Female" sqref="C6">
      <formula1>0</formula1>
      <formula2>1</formula2>
    </dataValidation>
    <dataValidation errorStyle="warning" type="decimal" showInputMessage="1" showErrorMessage="1" errorTitle="Range warning" error="Unlikely!&#10;Please enter a real value" sqref="C20">
      <formula1>0</formula1>
      <formula2>30</formula2>
    </dataValidation>
    <dataValidation type="whole" showInputMessage="1" showErrorMessage="1" errorTitle="Input error" error="Please enter&#10; 0 for No&#10; 1 for Yes" sqref="C19 C21:C24 C8:C13">
      <formula1>0</formula1>
      <formula2>1</formula2>
    </dataValidation>
    <dataValidation type="whole" showInputMessage="1" showErrorMessage="1" errorTitle="Range error" error="Input age between 0-120" sqref="C5">
      <formula1>0</formula1>
      <formula2>120</formula2>
    </dataValidation>
  </dataValidations>
  <hyperlinks>
    <hyperlink ref="F3" location="Intro!C2" display="Home"/>
    <hyperlink ref="F2" location="Intro!C2" display="Intro!C2"/>
    <hyperlink ref="F27" location="'Duke Clinical Prediction of CHD'!D50" display="Set thresholds for ExECG"/>
  </hyperlinks>
  <printOptions horizontalCentered="1"/>
  <pageMargins left="0.7480314960629921" right="0.7480314960629921" top="0.7874015748031497" bottom="0.7874015748031497" header="0.5118110236220472" footer="0.5118110236220472"/>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3"/>
  <dimension ref="A1:M40"/>
  <sheetViews>
    <sheetView showGridLines="0" tabSelected="1" zoomScaleSheetLayoutView="100" workbookViewId="0" topLeftCell="A1">
      <selection activeCell="C4" sqref="C4"/>
    </sheetView>
  </sheetViews>
  <sheetFormatPr defaultColWidth="9.00390625" defaultRowHeight="13.5"/>
  <cols>
    <col min="1" max="1" width="2.625" style="5" customWidth="1"/>
    <col min="2" max="2" width="35.75390625" style="5" customWidth="1"/>
    <col min="3" max="3" width="12.75390625" style="5" customWidth="1"/>
    <col min="4" max="5" width="9.25390625" style="5" customWidth="1"/>
    <col min="6" max="6" width="17.25390625" style="5" customWidth="1"/>
    <col min="7" max="7" width="9.25390625" style="5" customWidth="1"/>
    <col min="8" max="13" width="8.75390625" style="5" customWidth="1"/>
    <col min="14" max="16384" width="9.00390625" style="5" customWidth="1"/>
  </cols>
  <sheetData>
    <row r="1" spans="1:13" ht="15">
      <c r="A1" s="20"/>
      <c r="B1" s="127" t="s">
        <v>56</v>
      </c>
      <c r="C1" s="127"/>
      <c r="D1" s="127"/>
      <c r="E1" s="127"/>
      <c r="F1" s="127"/>
      <c r="G1" s="20"/>
      <c r="H1" s="20"/>
      <c r="I1" s="20"/>
      <c r="J1" s="21"/>
      <c r="K1" s="20"/>
      <c r="L1" s="20"/>
      <c r="M1" s="22"/>
    </row>
    <row r="2" spans="1:13" ht="16.5" customHeight="1" thickBot="1">
      <c r="A2" s="24"/>
      <c r="B2" s="130" t="s">
        <v>100</v>
      </c>
      <c r="C2" s="20"/>
      <c r="D2" s="20"/>
      <c r="E2" s="20"/>
      <c r="F2" s="355" t="s">
        <v>376</v>
      </c>
      <c r="G2" s="20"/>
      <c r="H2" s="20"/>
      <c r="I2" s="20"/>
      <c r="J2" s="23"/>
      <c r="K2" s="20"/>
      <c r="L2" s="20"/>
      <c r="M2" s="22"/>
    </row>
    <row r="3" spans="1:13" ht="14.25" thickBot="1">
      <c r="A3" s="20"/>
      <c r="B3" s="463" t="s">
        <v>402</v>
      </c>
      <c r="C3" s="464"/>
      <c r="D3" s="20"/>
      <c r="E3" s="20"/>
      <c r="F3" s="20"/>
      <c r="G3" s="20"/>
      <c r="H3" s="20"/>
      <c r="I3" s="20"/>
      <c r="J3" s="20"/>
      <c r="K3" s="20"/>
      <c r="L3" s="20"/>
      <c r="M3" s="22"/>
    </row>
    <row r="4" spans="1:13" ht="13.5">
      <c r="A4" s="20"/>
      <c r="B4" s="338" t="s">
        <v>43</v>
      </c>
      <c r="C4" s="339">
        <v>9</v>
      </c>
      <c r="D4" s="275" t="s">
        <v>44</v>
      </c>
      <c r="E4" s="275"/>
      <c r="F4" s="276"/>
      <c r="G4" s="20"/>
      <c r="H4" s="20"/>
      <c r="I4" s="20"/>
      <c r="J4" s="20"/>
      <c r="K4" s="20"/>
      <c r="L4" s="20"/>
      <c r="M4" s="22"/>
    </row>
    <row r="5" spans="1:13" ht="13.5">
      <c r="A5" s="20"/>
      <c r="B5" s="340" t="s">
        <v>45</v>
      </c>
      <c r="C5" s="341">
        <v>0</v>
      </c>
      <c r="D5" s="275" t="s">
        <v>63</v>
      </c>
      <c r="E5" s="275"/>
      <c r="F5" s="276"/>
      <c r="G5" s="20"/>
      <c r="H5" s="20"/>
      <c r="I5" s="20"/>
      <c r="J5" s="20"/>
      <c r="K5" s="20"/>
      <c r="L5" s="20"/>
      <c r="M5" s="22"/>
    </row>
    <row r="6" spans="1:13" ht="14.25" thickBot="1">
      <c r="A6" s="20"/>
      <c r="B6" s="342" t="s">
        <v>46</v>
      </c>
      <c r="C6" s="74">
        <v>0</v>
      </c>
      <c r="D6" s="275" t="s">
        <v>47</v>
      </c>
      <c r="E6" s="275"/>
      <c r="F6" s="276"/>
      <c r="G6" s="20"/>
      <c r="H6" s="20"/>
      <c r="I6" s="20"/>
      <c r="J6" s="20"/>
      <c r="K6" s="20"/>
      <c r="L6" s="20"/>
      <c r="M6" s="22"/>
    </row>
    <row r="7" spans="1:13" ht="14.25" thickBot="1">
      <c r="A7" s="20"/>
      <c r="B7" s="352" t="s">
        <v>48</v>
      </c>
      <c r="C7" s="343">
        <f>C4-(5*C5)-(4*C6)</f>
        <v>9</v>
      </c>
      <c r="D7" s="20"/>
      <c r="E7" s="20"/>
      <c r="F7" s="20"/>
      <c r="G7" s="20"/>
      <c r="H7" s="20"/>
      <c r="I7" s="20"/>
      <c r="J7" s="20"/>
      <c r="K7" s="20"/>
      <c r="L7" s="20"/>
      <c r="M7" s="22"/>
    </row>
    <row r="8" spans="1:13" ht="13.5" hidden="1">
      <c r="A8" s="20"/>
      <c r="B8" s="336" t="s">
        <v>49</v>
      </c>
      <c r="C8" s="337">
        <f>-1.5393*DTS+30.758</f>
        <v>16.9043</v>
      </c>
      <c r="D8" s="20"/>
      <c r="E8" s="20"/>
      <c r="F8" s="20"/>
      <c r="G8" s="20"/>
      <c r="H8" s="20"/>
      <c r="I8" s="20"/>
      <c r="J8" s="20"/>
      <c r="K8" s="20"/>
      <c r="L8" s="20"/>
      <c r="M8" s="22"/>
    </row>
    <row r="9" spans="1:13" ht="14.25" thickBot="1">
      <c r="A9" s="20"/>
      <c r="B9" s="26"/>
      <c r="C9" s="42"/>
      <c r="D9" s="20"/>
      <c r="E9" s="20"/>
      <c r="F9" s="20"/>
      <c r="G9" s="20"/>
      <c r="H9" s="20"/>
      <c r="I9" s="20"/>
      <c r="J9" s="20"/>
      <c r="K9" s="20"/>
      <c r="L9" s="20"/>
      <c r="M9" s="22"/>
    </row>
    <row r="10" spans="1:13" ht="13.5">
      <c r="A10" s="20"/>
      <c r="B10" s="344" t="s">
        <v>50</v>
      </c>
      <c r="C10" s="345">
        <f>IF(((POWER(0.00001*Points,4)-POWER(0.0021*Points,3)+POWER(0.0926*Points,2)+0.9853*Points)/100)&gt;1,1,((POWER(0.00001*Points,4)-POWER(0.0021*Points,3)+POWER(0.0926*Points,2)+0.9853*Points)/100))</f>
        <v>0.1910604567255794</v>
      </c>
      <c r="D10" s="275" t="s">
        <v>64</v>
      </c>
      <c r="E10" s="275"/>
      <c r="F10" s="276"/>
      <c r="G10" s="20"/>
      <c r="H10" s="20"/>
      <c r="I10" s="20"/>
      <c r="J10" s="20"/>
      <c r="K10" s="20"/>
      <c r="L10" s="20"/>
      <c r="M10" s="22"/>
    </row>
    <row r="11" spans="1:13" ht="13.5">
      <c r="A11" s="20"/>
      <c r="B11" s="346" t="s">
        <v>51</v>
      </c>
      <c r="C11" s="347">
        <f>IF(((POWER(0.0000002*Points,5)-POWER(0.00005*Points,4)+POWER(0.0034*Points,3)+POWER(0.0649*Points,2)+(0.8234*Points))/100)&gt;1,1,((POWER(0.0000002*Points,5)-POWER(0.00005*Points,4)+POWER(0.0034*Points,3)+POWER(0.0649*Points,2)+(0.8234*Points))/100))</f>
        <v>0.15122794905261178</v>
      </c>
      <c r="D11" s="275" t="s">
        <v>52</v>
      </c>
      <c r="E11" s="275"/>
      <c r="F11" s="276"/>
      <c r="G11" s="20"/>
      <c r="H11" s="20"/>
      <c r="I11" s="20"/>
      <c r="J11" s="20"/>
      <c r="K11" s="20"/>
      <c r="L11" s="20"/>
      <c r="M11" s="22"/>
    </row>
    <row r="12" spans="1:13" ht="14.25" thickBot="1">
      <c r="A12" s="20"/>
      <c r="B12" s="348" t="s">
        <v>53</v>
      </c>
      <c r="C12" s="349">
        <f>1-(POWER(-0.0205*Points,2)-0.488*Points+93.721)/100</f>
        <v>0.14408209710594577</v>
      </c>
      <c r="D12" s="119"/>
      <c r="E12" s="119"/>
      <c r="F12" s="119"/>
      <c r="G12" s="20"/>
      <c r="H12" s="20"/>
      <c r="I12" s="20"/>
      <c r="J12" s="20"/>
      <c r="K12" s="20"/>
      <c r="L12" s="20"/>
      <c r="M12" s="22"/>
    </row>
    <row r="13" spans="1:13" ht="14.25" thickBot="1">
      <c r="A13" s="20"/>
      <c r="B13" s="27"/>
      <c r="C13" s="43"/>
      <c r="D13" s="20"/>
      <c r="E13" s="20"/>
      <c r="F13" s="20"/>
      <c r="G13" s="20"/>
      <c r="H13" s="20"/>
      <c r="I13" s="20"/>
      <c r="J13" s="20"/>
      <c r="K13" s="20"/>
      <c r="L13" s="20"/>
      <c r="M13" s="22"/>
    </row>
    <row r="14" spans="1:13" ht="14.25" thickBot="1">
      <c r="A14" s="20"/>
      <c r="B14" s="350" t="s">
        <v>62</v>
      </c>
      <c r="C14" s="351" t="str">
        <f>IF(DTS&gt;4,"Low Risk",IF(DTS&gt;-12,"Moderate Risk","High Risk"))</f>
        <v>Low Risk</v>
      </c>
      <c r="D14" s="20"/>
      <c r="E14" s="20"/>
      <c r="F14" s="28"/>
      <c r="G14" s="20"/>
      <c r="H14" s="20"/>
      <c r="I14" s="20"/>
      <c r="J14" s="20"/>
      <c r="K14" s="20"/>
      <c r="L14" s="20"/>
      <c r="M14" s="22"/>
    </row>
    <row r="15" spans="1:13" ht="14.25" thickBot="1">
      <c r="A15" s="20"/>
      <c r="B15" s="461" t="str">
        <f>IF(DTS&gt;4,"Angiography usually not indicated",IF(DTS&gt;-12,"Angiography may be indicated","Angiography usually indicated"))</f>
        <v>Angiography usually not indicated</v>
      </c>
      <c r="C15" s="462"/>
      <c r="D15" s="20"/>
      <c r="E15" s="20"/>
      <c r="F15" s="28"/>
      <c r="G15" s="20"/>
      <c r="H15" s="20"/>
      <c r="I15" s="20"/>
      <c r="J15" s="20"/>
      <c r="K15" s="20"/>
      <c r="L15" s="20"/>
      <c r="M15" s="22"/>
    </row>
    <row r="16" spans="1:13" ht="13.5">
      <c r="A16" s="20"/>
      <c r="B16" s="27"/>
      <c r="C16" s="28"/>
      <c r="D16" s="20"/>
      <c r="E16" s="20"/>
      <c r="F16" s="20"/>
      <c r="G16" s="20"/>
      <c r="H16" s="20"/>
      <c r="I16" s="20"/>
      <c r="J16" s="20"/>
      <c r="K16" s="20"/>
      <c r="L16" s="20"/>
      <c r="M16" s="22"/>
    </row>
    <row r="17" spans="1:13" ht="13.5">
      <c r="A17" s="20"/>
      <c r="B17" s="27"/>
      <c r="C17" s="28"/>
      <c r="D17" s="20"/>
      <c r="E17" s="20"/>
      <c r="F17" s="20"/>
      <c r="G17" s="20"/>
      <c r="H17" s="20"/>
      <c r="I17" s="20"/>
      <c r="J17" s="20"/>
      <c r="K17" s="20"/>
      <c r="L17" s="20"/>
      <c r="M17" s="22"/>
    </row>
    <row r="18" spans="1:13" ht="13.5">
      <c r="A18" s="22"/>
      <c r="B18" s="29" t="s">
        <v>22</v>
      </c>
      <c r="C18" s="28"/>
      <c r="D18" s="20"/>
      <c r="E18" s="20"/>
      <c r="F18" s="20"/>
      <c r="G18" s="20"/>
      <c r="H18" s="20"/>
      <c r="I18" s="20"/>
      <c r="J18" s="20"/>
      <c r="K18" s="20"/>
      <c r="L18" s="20"/>
      <c r="M18" s="22"/>
    </row>
    <row r="19" spans="1:13" ht="13.5">
      <c r="A19" s="22"/>
      <c r="B19" s="25" t="s">
        <v>54</v>
      </c>
      <c r="C19" s="28"/>
      <c r="D19" s="20"/>
      <c r="E19" s="20"/>
      <c r="F19" s="20"/>
      <c r="G19" s="20"/>
      <c r="H19" s="20"/>
      <c r="I19" s="20"/>
      <c r="J19" s="20"/>
      <c r="K19" s="20"/>
      <c r="L19" s="20"/>
      <c r="M19" s="22"/>
    </row>
    <row r="20" spans="1:13" ht="13.5">
      <c r="A20" s="22"/>
      <c r="B20" s="25" t="s">
        <v>326</v>
      </c>
      <c r="C20" s="20"/>
      <c r="D20" s="20"/>
      <c r="E20" s="20"/>
      <c r="F20" s="20"/>
      <c r="G20" s="20"/>
      <c r="H20" s="20"/>
      <c r="I20" s="20"/>
      <c r="J20" s="20"/>
      <c r="K20" s="20"/>
      <c r="L20" s="20"/>
      <c r="M20" s="22"/>
    </row>
    <row r="21" spans="1:13" ht="13.5">
      <c r="A21" s="22"/>
      <c r="B21" s="25" t="s">
        <v>327</v>
      </c>
      <c r="C21" s="20"/>
      <c r="D21" s="20"/>
      <c r="E21" s="20"/>
      <c r="F21" s="20"/>
      <c r="G21" s="20"/>
      <c r="H21" s="20"/>
      <c r="I21" s="20"/>
      <c r="J21" s="20"/>
      <c r="K21" s="20"/>
      <c r="L21" s="20"/>
      <c r="M21" s="22"/>
    </row>
    <row r="22" spans="1:13" ht="13.5">
      <c r="A22" s="22"/>
      <c r="B22" s="25" t="s">
        <v>324</v>
      </c>
      <c r="C22" s="20"/>
      <c r="D22" s="20"/>
      <c r="E22" s="20"/>
      <c r="F22" s="20"/>
      <c r="G22" s="20"/>
      <c r="H22" s="20"/>
      <c r="I22" s="20"/>
      <c r="J22" s="20"/>
      <c r="K22" s="20"/>
      <c r="L22" s="20"/>
      <c r="M22" s="22"/>
    </row>
    <row r="23" spans="1:13" ht="13.5">
      <c r="A23" s="22"/>
      <c r="B23" s="22"/>
      <c r="C23" s="20"/>
      <c r="D23" s="20"/>
      <c r="E23" s="20"/>
      <c r="F23" s="20"/>
      <c r="G23" s="20"/>
      <c r="H23" s="20"/>
      <c r="I23" s="20"/>
      <c r="J23" s="20"/>
      <c r="K23" s="20"/>
      <c r="L23" s="20"/>
      <c r="M23" s="22"/>
    </row>
    <row r="24" spans="1:13" ht="13.5">
      <c r="A24" s="22"/>
      <c r="B24" s="25" t="s">
        <v>55</v>
      </c>
      <c r="C24" s="20"/>
      <c r="D24" s="20"/>
      <c r="E24" s="20"/>
      <c r="F24" s="20"/>
      <c r="G24" s="20"/>
      <c r="H24" s="20"/>
      <c r="I24" s="20"/>
      <c r="J24" s="20"/>
      <c r="K24" s="20"/>
      <c r="L24" s="20"/>
      <c r="M24" s="22"/>
    </row>
    <row r="25" spans="1:13" ht="13.5">
      <c r="A25" s="20"/>
      <c r="B25" s="25" t="s">
        <v>328</v>
      </c>
      <c r="C25" s="20"/>
      <c r="D25" s="20"/>
      <c r="E25" s="20"/>
      <c r="F25" s="20"/>
      <c r="G25" s="20"/>
      <c r="H25" s="20"/>
      <c r="I25" s="20"/>
      <c r="J25" s="20"/>
      <c r="K25" s="20"/>
      <c r="L25" s="20"/>
      <c r="M25" s="22"/>
    </row>
    <row r="26" spans="1:13" ht="13.5">
      <c r="A26" s="20"/>
      <c r="B26" s="25" t="s">
        <v>329</v>
      </c>
      <c r="C26" s="20"/>
      <c r="D26" s="20"/>
      <c r="E26" s="20"/>
      <c r="F26" s="20"/>
      <c r="G26" s="20"/>
      <c r="H26" s="20"/>
      <c r="I26" s="20"/>
      <c r="J26" s="20"/>
      <c r="K26" s="20"/>
      <c r="L26" s="20"/>
      <c r="M26" s="22"/>
    </row>
    <row r="27" spans="1:13" ht="13.5">
      <c r="A27" s="22"/>
      <c r="B27" s="25" t="s">
        <v>325</v>
      </c>
      <c r="C27" s="120"/>
      <c r="D27" s="120"/>
      <c r="E27" s="22"/>
      <c r="F27" s="22"/>
      <c r="G27" s="22"/>
      <c r="H27" s="22"/>
      <c r="I27" s="120"/>
      <c r="J27" s="120"/>
      <c r="K27" s="22"/>
      <c r="L27" s="22"/>
      <c r="M27" s="22"/>
    </row>
    <row r="28" spans="1:13" ht="13.5">
      <c r="A28" s="22"/>
      <c r="B28" s="22"/>
      <c r="C28" s="22"/>
      <c r="D28" s="22"/>
      <c r="E28" s="22"/>
      <c r="F28" s="22"/>
      <c r="G28" s="22"/>
      <c r="H28" s="22"/>
      <c r="I28" s="22"/>
      <c r="J28" s="22"/>
      <c r="K28" s="22"/>
      <c r="L28" s="22"/>
      <c r="M28" s="22"/>
    </row>
    <row r="29" spans="1:13" ht="13.5">
      <c r="A29" s="22"/>
      <c r="B29" s="25" t="s">
        <v>330</v>
      </c>
      <c r="C29" s="22"/>
      <c r="D29" s="22"/>
      <c r="E29" s="22"/>
      <c r="F29" s="22"/>
      <c r="G29" s="22"/>
      <c r="H29" s="22"/>
      <c r="I29" s="22"/>
      <c r="J29" s="22"/>
      <c r="K29" s="22"/>
      <c r="L29" s="22"/>
      <c r="M29" s="22"/>
    </row>
    <row r="30" spans="1:13" ht="13.5">
      <c r="A30" s="22"/>
      <c r="B30" s="22"/>
      <c r="C30" s="22"/>
      <c r="D30" s="22"/>
      <c r="E30" s="22"/>
      <c r="F30" s="22"/>
      <c r="G30" s="22"/>
      <c r="H30" s="22"/>
      <c r="I30" s="22"/>
      <c r="J30" s="22"/>
      <c r="K30" s="22"/>
      <c r="L30" s="22"/>
      <c r="M30" s="22"/>
    </row>
    <row r="31" spans="1:13" ht="13.5">
      <c r="A31" s="22"/>
      <c r="B31" s="22"/>
      <c r="C31" s="22"/>
      <c r="D31" s="22"/>
      <c r="E31" s="22"/>
      <c r="F31" s="22"/>
      <c r="G31" s="22"/>
      <c r="H31" s="22"/>
      <c r="I31" s="22"/>
      <c r="J31" s="22"/>
      <c r="K31" s="22"/>
      <c r="L31" s="22"/>
      <c r="M31" s="22"/>
    </row>
    <row r="32" spans="1:13" ht="13.5">
      <c r="A32" s="260"/>
      <c r="B32" s="22"/>
      <c r="C32" s="22"/>
      <c r="D32" s="22"/>
      <c r="E32" s="22"/>
      <c r="F32" s="22"/>
      <c r="G32" s="22"/>
      <c r="H32" s="22"/>
      <c r="I32" s="22"/>
      <c r="J32" s="22"/>
      <c r="K32" s="22"/>
      <c r="L32" s="22"/>
      <c r="M32" s="22"/>
    </row>
    <row r="33" spans="1:13" ht="13.5">
      <c r="A33" s="260"/>
      <c r="B33" s="121" t="s">
        <v>418</v>
      </c>
      <c r="C33" s="22"/>
      <c r="D33" s="22"/>
      <c r="E33" s="22"/>
      <c r="F33" s="122" t="s">
        <v>99</v>
      </c>
      <c r="G33" s="22"/>
      <c r="H33" s="22"/>
      <c r="I33" s="22"/>
      <c r="J33" s="22"/>
      <c r="K33" s="22"/>
      <c r="L33" s="22"/>
      <c r="M33" s="22"/>
    </row>
    <row r="34" spans="1:13" ht="13.5">
      <c r="A34" s="20"/>
      <c r="B34" s="20"/>
      <c r="C34" s="20"/>
      <c r="D34" s="20"/>
      <c r="E34" s="20"/>
      <c r="F34" s="20"/>
      <c r="G34" s="20"/>
      <c r="H34" s="20"/>
      <c r="I34" s="20"/>
      <c r="J34" s="20"/>
      <c r="K34" s="22"/>
      <c r="L34" s="22"/>
      <c r="M34" s="22"/>
    </row>
    <row r="35" spans="1:13" ht="13.5">
      <c r="A35" s="20"/>
      <c r="B35" s="20"/>
      <c r="C35" s="20"/>
      <c r="D35" s="20"/>
      <c r="E35" s="20"/>
      <c r="F35" s="20"/>
      <c r="G35" s="20"/>
      <c r="H35" s="20"/>
      <c r="I35" s="20"/>
      <c r="J35" s="20"/>
      <c r="K35" s="22"/>
      <c r="L35" s="22"/>
      <c r="M35" s="22"/>
    </row>
    <row r="36" spans="1:13" ht="13.5">
      <c r="A36" s="120"/>
      <c r="B36" s="120"/>
      <c r="C36" s="120"/>
      <c r="D36" s="120"/>
      <c r="E36" s="120"/>
      <c r="F36" s="120"/>
      <c r="G36" s="120"/>
      <c r="H36" s="120"/>
      <c r="I36" s="120"/>
      <c r="J36" s="120"/>
      <c r="K36" s="120"/>
      <c r="L36" s="120"/>
      <c r="M36" s="22"/>
    </row>
    <row r="37" spans="1:13" ht="13.5">
      <c r="A37" s="120"/>
      <c r="B37" s="120"/>
      <c r="C37" s="120"/>
      <c r="D37" s="120"/>
      <c r="E37" s="120"/>
      <c r="F37" s="120"/>
      <c r="G37" s="120"/>
      <c r="H37" s="120"/>
      <c r="I37" s="120"/>
      <c r="J37" s="120"/>
      <c r="K37" s="120"/>
      <c r="L37" s="120"/>
      <c r="M37" s="22"/>
    </row>
    <row r="38" spans="1:13" ht="13.5">
      <c r="A38" s="120"/>
      <c r="B38" s="120"/>
      <c r="C38" s="120"/>
      <c r="D38" s="120"/>
      <c r="E38" s="120"/>
      <c r="F38" s="120"/>
      <c r="G38" s="120"/>
      <c r="H38" s="120"/>
      <c r="I38" s="120"/>
      <c r="J38" s="120"/>
      <c r="K38" s="120"/>
      <c r="L38" s="120"/>
      <c r="M38" s="22"/>
    </row>
    <row r="39" spans="1:13" ht="13.5">
      <c r="A39" s="120"/>
      <c r="B39" s="120"/>
      <c r="C39" s="120"/>
      <c r="D39" s="120"/>
      <c r="E39" s="120"/>
      <c r="F39" s="120"/>
      <c r="G39" s="120"/>
      <c r="H39" s="120"/>
      <c r="I39" s="120"/>
      <c r="J39" s="120"/>
      <c r="K39" s="120"/>
      <c r="L39" s="120"/>
      <c r="M39" s="22"/>
    </row>
    <row r="40" spans="1:13" ht="13.5">
      <c r="A40" s="120"/>
      <c r="B40" s="120"/>
      <c r="C40" s="120"/>
      <c r="D40" s="120"/>
      <c r="E40" s="120"/>
      <c r="F40" s="120"/>
      <c r="G40" s="120"/>
      <c r="H40" s="120"/>
      <c r="I40" s="120"/>
      <c r="J40" s="120"/>
      <c r="K40" s="120"/>
      <c r="L40" s="120"/>
      <c r="M40" s="22"/>
    </row>
  </sheetData>
  <sheetProtection password="CA27" sheet="1" objects="1" scenarios="1"/>
  <mergeCells count="2">
    <mergeCell ref="B15:C15"/>
    <mergeCell ref="B3:C3"/>
  </mergeCells>
  <conditionalFormatting sqref="C10:C11">
    <cfRule type="cellIs" priority="1" dxfId="1" operator="greaterThanOrEqual" stopIfTrue="1">
      <formula>0.5</formula>
    </cfRule>
    <cfRule type="cellIs" priority="2" dxfId="4" operator="greaterThan" stopIfTrue="1">
      <formula>0.25</formula>
    </cfRule>
    <cfRule type="cellIs" priority="3" dxfId="5" operator="lessThanOrEqual" stopIfTrue="1">
      <formula>0.25</formula>
    </cfRule>
  </conditionalFormatting>
  <conditionalFormatting sqref="C12">
    <cfRule type="cellIs" priority="4" dxfId="1" operator="greaterThanOrEqual" stopIfTrue="1">
      <formula>0.3</formula>
    </cfRule>
    <cfRule type="cellIs" priority="5" dxfId="6" operator="greaterThanOrEqual" stopIfTrue="1">
      <formula>0.2</formula>
    </cfRule>
    <cfRule type="cellIs" priority="6" dxfId="5" operator="lessThan" stopIfTrue="1">
      <formula>0.2</formula>
    </cfRule>
  </conditionalFormatting>
  <conditionalFormatting sqref="C14">
    <cfRule type="cellIs" priority="7" dxfId="5" operator="equal" stopIfTrue="1">
      <formula>"Low Risk"</formula>
    </cfRule>
    <cfRule type="cellIs" priority="8" dxfId="4" operator="equal" stopIfTrue="1">
      <formula>"Moderate Risk"</formula>
    </cfRule>
    <cfRule type="cellIs" priority="9" dxfId="1" operator="equal" stopIfTrue="1">
      <formula>"High Risk"</formula>
    </cfRule>
  </conditionalFormatting>
  <conditionalFormatting sqref="B15:C15">
    <cfRule type="cellIs" priority="10" dxfId="5" operator="equal" stopIfTrue="1">
      <formula>"Angiography usually not indicated"</formula>
    </cfRule>
    <cfRule type="cellIs" priority="11" dxfId="4" operator="equal" stopIfTrue="1">
      <formula>"Angiography may be indicated"</formula>
    </cfRule>
    <cfRule type="cellIs" priority="12" dxfId="1" operator="equal" stopIfTrue="1">
      <formula>"Angiography usually indicated"</formula>
    </cfRule>
  </conditionalFormatting>
  <dataValidations count="3">
    <dataValidation errorStyle="warning" type="decimal" showInputMessage="1" showErrorMessage="1" errorTitle="Range warning" error="Unlikely!&#10;Enter the amount of time the patient completed on the treadmill." sqref="C4">
      <formula1>0</formula1>
      <formula2>30</formula2>
    </dataValidation>
    <dataValidation type="decimal" showInputMessage="1" showErrorMessage="1" errorTitle="Range warning" error="Enter the amount of ST deviation as a positive number (whether there was depression or elevation)." sqref="C5">
      <formula1>0</formula1>
      <formula2>10</formula2>
    </dataValidation>
    <dataValidation type="whole" showInputMessage="1" showErrorMessage="1" errorTitle="Input error" error="Enter 0 for no angina during test, 1 for non-limiting angina, or 2 if angina was the reason for stopping." sqref="C6">
      <formula1>0</formula1>
      <formula2>2</formula2>
    </dataValidation>
  </dataValidations>
  <hyperlinks>
    <hyperlink ref="F2" location="Intro!C2" display="Home"/>
  </hyperlinks>
  <printOptions horizontalCentered="1"/>
  <pageMargins left="0.7480314960629921" right="0.7480314960629921" top="0.7874015748031497" bottom="0.7874015748031497" header="0.31496062992125984" footer="0.4330708661417323"/>
  <pageSetup horizontalDpi="600" verticalDpi="600" orientation="portrait" paperSize="9" scale="90" r:id="rId3"/>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K40"/>
  <sheetViews>
    <sheetView workbookViewId="0" topLeftCell="A1">
      <selection activeCell="B5" sqref="B5"/>
    </sheetView>
  </sheetViews>
  <sheetFormatPr defaultColWidth="9.00390625" defaultRowHeight="13.5"/>
  <cols>
    <col min="1" max="1" width="60.625" style="0" customWidth="1"/>
  </cols>
  <sheetData>
    <row r="1" spans="1:11" ht="15">
      <c r="A1" s="259" t="s">
        <v>311</v>
      </c>
      <c r="B1" s="141"/>
      <c r="C1" s="141"/>
      <c r="D1" s="142"/>
      <c r="E1" s="143"/>
      <c r="F1" s="144"/>
      <c r="G1" s="145"/>
      <c r="H1" s="145"/>
      <c r="I1" s="145"/>
      <c r="J1" s="145"/>
      <c r="K1" s="145"/>
    </row>
    <row r="2" spans="1:11" ht="13.5">
      <c r="A2" s="146" t="s">
        <v>114</v>
      </c>
      <c r="B2" s="141"/>
      <c r="C2" s="355" t="s">
        <v>376</v>
      </c>
      <c r="D2" s="142"/>
      <c r="E2" s="143"/>
      <c r="F2" s="144"/>
      <c r="G2" s="145"/>
      <c r="H2" s="145"/>
      <c r="I2" s="145"/>
      <c r="J2" s="145"/>
      <c r="K2" s="145"/>
    </row>
    <row r="3" spans="1:11" ht="13.5">
      <c r="A3" s="146" t="s">
        <v>115</v>
      </c>
      <c r="B3" s="147"/>
      <c r="C3" s="147"/>
      <c r="D3" s="142"/>
      <c r="E3" s="143"/>
      <c r="F3" s="144"/>
      <c r="G3" s="145"/>
      <c r="H3" s="145"/>
      <c r="I3" s="145"/>
      <c r="J3" s="145"/>
      <c r="K3" s="145"/>
    </row>
    <row r="4" spans="1:11" ht="13.5">
      <c r="A4" s="148" t="s">
        <v>116</v>
      </c>
      <c r="B4" s="149"/>
      <c r="C4" s="141"/>
      <c r="D4" s="142"/>
      <c r="E4" s="143"/>
      <c r="F4" s="144"/>
      <c r="G4" s="145"/>
      <c r="H4" s="145"/>
      <c r="I4" s="145"/>
      <c r="J4" s="145"/>
      <c r="K4" s="145"/>
    </row>
    <row r="5" spans="1:11" ht="13.5">
      <c r="A5" s="150" t="s">
        <v>2</v>
      </c>
      <c r="B5" s="277">
        <v>50</v>
      </c>
      <c r="C5" s="278" t="s">
        <v>117</v>
      </c>
      <c r="D5" s="143">
        <f>IF(AND(B5&gt;=65,B5&lt;75),2,IF(B5&gt;=75,3,0))</f>
        <v>0</v>
      </c>
      <c r="E5" s="143"/>
      <c r="F5" s="144"/>
      <c r="G5" s="145"/>
      <c r="H5" s="145"/>
      <c r="I5" s="145"/>
      <c r="J5" s="145"/>
      <c r="K5" s="145"/>
    </row>
    <row r="6" spans="1:11" ht="13.5">
      <c r="A6" s="150" t="s">
        <v>118</v>
      </c>
      <c r="B6" s="277">
        <v>0</v>
      </c>
      <c r="C6" s="278" t="s">
        <v>119</v>
      </c>
      <c r="D6" s="143">
        <f>IF(OR(B6="Y",B6="Yes",B6=1),1,0)</f>
        <v>0</v>
      </c>
      <c r="E6" s="143">
        <f>IF((D6+D7+D8)&gt;=1,1,0)</f>
        <v>0</v>
      </c>
      <c r="F6" s="144"/>
      <c r="G6" s="145"/>
      <c r="H6" s="145"/>
      <c r="I6" s="145"/>
      <c r="J6" s="145"/>
      <c r="K6" s="145"/>
    </row>
    <row r="7" spans="1:11" ht="13.5">
      <c r="A7" s="150" t="s">
        <v>120</v>
      </c>
      <c r="B7" s="277">
        <v>0</v>
      </c>
      <c r="C7" s="278" t="s">
        <v>119</v>
      </c>
      <c r="D7" s="143">
        <f>IF(OR(B7="Y",B7="Yes",B7=1),1,0)</f>
        <v>0</v>
      </c>
      <c r="E7" s="143"/>
      <c r="F7" s="144"/>
      <c r="G7" s="145"/>
      <c r="H7" s="145"/>
      <c r="I7" s="145"/>
      <c r="J7" s="145"/>
      <c r="K7" s="145"/>
    </row>
    <row r="8" spans="1:11" ht="13.5">
      <c r="A8" s="150" t="s">
        <v>121</v>
      </c>
      <c r="B8" s="277">
        <v>0</v>
      </c>
      <c r="C8" s="278" t="s">
        <v>119</v>
      </c>
      <c r="D8" s="143">
        <f>IF(OR(B8="Y",B8="Yes",B8=1),1,0)</f>
        <v>0</v>
      </c>
      <c r="E8" s="143"/>
      <c r="F8" s="144"/>
      <c r="G8" s="145"/>
      <c r="H8" s="145"/>
      <c r="I8" s="145"/>
      <c r="J8" s="145"/>
      <c r="K8" s="145"/>
    </row>
    <row r="9" spans="1:11" ht="13.5">
      <c r="A9" s="148" t="s">
        <v>122</v>
      </c>
      <c r="B9" s="149"/>
      <c r="C9" s="223"/>
      <c r="D9" s="143"/>
      <c r="E9" s="143"/>
      <c r="F9" s="144"/>
      <c r="G9" s="145"/>
      <c r="H9" s="145"/>
      <c r="I9" s="145"/>
      <c r="J9" s="145"/>
      <c r="K9" s="145"/>
    </row>
    <row r="10" spans="1:11" ht="13.5">
      <c r="A10" s="150" t="s">
        <v>123</v>
      </c>
      <c r="B10" s="277">
        <v>0</v>
      </c>
      <c r="C10" s="278" t="s">
        <v>119</v>
      </c>
      <c r="D10" s="143">
        <f>IF(OR(B10="Y",B10="Yes",B10=1),3,0)</f>
        <v>0</v>
      </c>
      <c r="E10" s="143"/>
      <c r="F10" s="144"/>
      <c r="G10" s="145"/>
      <c r="H10" s="145"/>
      <c r="I10" s="145"/>
      <c r="J10" s="145"/>
      <c r="K10" s="145"/>
    </row>
    <row r="11" spans="1:11" ht="13.5">
      <c r="A11" s="150" t="s">
        <v>124</v>
      </c>
      <c r="B11" s="277">
        <v>0</v>
      </c>
      <c r="C11" s="278" t="s">
        <v>119</v>
      </c>
      <c r="D11" s="143">
        <f>IF(OR(B11="Y",B11="Yes",B11=1),2,0)</f>
        <v>0</v>
      </c>
      <c r="E11" s="143"/>
      <c r="F11" s="144"/>
      <c r="G11" s="145"/>
      <c r="H11" s="145"/>
      <c r="I11" s="145"/>
      <c r="J11" s="145"/>
      <c r="K11" s="145"/>
    </row>
    <row r="12" spans="1:11" ht="13.5">
      <c r="A12" s="150" t="s">
        <v>125</v>
      </c>
      <c r="B12" s="277">
        <v>0</v>
      </c>
      <c r="C12" s="278" t="s">
        <v>119</v>
      </c>
      <c r="D12" s="143">
        <f>IF(OR(B12="Y",B12="Yes",B12=1),2,0)</f>
        <v>0</v>
      </c>
      <c r="E12" s="143"/>
      <c r="F12" s="144"/>
      <c r="G12" s="145"/>
      <c r="H12" s="145"/>
      <c r="I12" s="145"/>
      <c r="J12" s="145"/>
      <c r="K12" s="145"/>
    </row>
    <row r="13" spans="1:11" ht="13.5">
      <c r="A13" s="150" t="s">
        <v>126</v>
      </c>
      <c r="B13" s="277">
        <v>0</v>
      </c>
      <c r="C13" s="278" t="s">
        <v>119</v>
      </c>
      <c r="D13" s="143">
        <f>IF(OR(B13="Y",B13="Yes",B13=1),1,0)</f>
        <v>0</v>
      </c>
      <c r="E13" s="143"/>
      <c r="F13" s="144"/>
      <c r="G13" s="145"/>
      <c r="H13" s="145"/>
      <c r="I13" s="145"/>
      <c r="J13" s="145"/>
      <c r="K13" s="145"/>
    </row>
    <row r="14" spans="1:11" ht="13.5">
      <c r="A14" s="148" t="s">
        <v>127</v>
      </c>
      <c r="B14" s="149"/>
      <c r="C14" s="223"/>
      <c r="D14" s="143"/>
      <c r="E14" s="143"/>
      <c r="F14" s="144"/>
      <c r="G14" s="145"/>
      <c r="H14" s="145"/>
      <c r="I14" s="145"/>
      <c r="J14" s="145"/>
      <c r="K14" s="145"/>
    </row>
    <row r="15" spans="1:11" ht="13.5">
      <c r="A15" s="150" t="s">
        <v>128</v>
      </c>
      <c r="B15" s="277">
        <v>0</v>
      </c>
      <c r="C15" s="278" t="s">
        <v>119</v>
      </c>
      <c r="D15" s="143">
        <f>IF(OR(B15="Y",B15="Yes",B15=1),1,0)</f>
        <v>0</v>
      </c>
      <c r="E15" s="143"/>
      <c r="F15" s="144"/>
      <c r="G15" s="145"/>
      <c r="H15" s="145"/>
      <c r="I15" s="145"/>
      <c r="J15" s="145"/>
      <c r="K15" s="145"/>
    </row>
    <row r="16" spans="1:11" ht="13.5">
      <c r="A16" s="150" t="s">
        <v>129</v>
      </c>
      <c r="B16" s="277">
        <v>0</v>
      </c>
      <c r="C16" s="278" t="s">
        <v>119</v>
      </c>
      <c r="D16" s="143">
        <f>IF(OR(B16="Y",B16="Yes",B16=1),1,0)</f>
        <v>0</v>
      </c>
      <c r="E16" s="143"/>
      <c r="F16" s="144"/>
      <c r="G16" s="145"/>
      <c r="H16" s="145"/>
      <c r="I16" s="145"/>
      <c r="J16" s="145"/>
      <c r="K16" s="145"/>
    </row>
    <row r="17" spans="1:11" ht="13.5">
      <c r="A17" s="151"/>
      <c r="B17" s="152"/>
      <c r="C17" s="146"/>
      <c r="D17" s="143"/>
      <c r="E17" s="143"/>
      <c r="F17" s="144"/>
      <c r="G17" s="145"/>
      <c r="H17" s="145"/>
      <c r="I17" s="145"/>
      <c r="J17" s="145"/>
      <c r="K17" s="145"/>
    </row>
    <row r="18" spans="1:11" ht="13.5">
      <c r="A18" s="357" t="s">
        <v>130</v>
      </c>
      <c r="B18" s="356">
        <f>SUM(D5:D16)</f>
        <v>0</v>
      </c>
      <c r="C18" s="146"/>
      <c r="D18" s="142"/>
      <c r="E18" s="143">
        <f>IF(B18=0,0.8,IF(B18&gt;8,35.9," "))</f>
        <v>0.8</v>
      </c>
      <c r="F18" s="144"/>
      <c r="G18" s="145"/>
      <c r="H18" s="145"/>
      <c r="I18" s="145"/>
      <c r="J18" s="145"/>
      <c r="K18" s="145"/>
    </row>
    <row r="19" spans="1:11" ht="13.5">
      <c r="A19" s="358" t="s">
        <v>131</v>
      </c>
      <c r="B19" s="153">
        <f>IF(B18=1,1.6,IF(B18=2,2.2,IF(B18=3,4.4,IF(B18=4,7.3,IF(B18=5,12.4,IF(B18=6,16.1,IF(B18=7,23.4,IF(B18=8,26.8,E18))))))))/100</f>
        <v>0.008</v>
      </c>
      <c r="C19" s="154"/>
      <c r="D19" s="143"/>
      <c r="E19" s="143"/>
      <c r="F19" s="144"/>
      <c r="G19" s="145"/>
      <c r="H19" s="145"/>
      <c r="I19" s="145"/>
      <c r="J19" s="145"/>
      <c r="K19" s="145"/>
    </row>
    <row r="20" spans="1:11" ht="13.5">
      <c r="A20" s="155"/>
      <c r="B20" s="156" t="str">
        <f>IF(B18&lt;4,"Low Risk",IF(B18&lt;5,"Intermediate Risk","High Risk"))</f>
        <v>Low Risk</v>
      </c>
      <c r="C20" s="155"/>
      <c r="D20" s="144"/>
      <c r="E20" s="144"/>
      <c r="F20" s="144"/>
      <c r="G20" s="145"/>
      <c r="H20" s="145"/>
      <c r="I20" s="145"/>
      <c r="J20" s="145"/>
      <c r="K20" s="145"/>
    </row>
    <row r="21" spans="1:11" ht="13.5">
      <c r="A21" s="155" t="s">
        <v>426</v>
      </c>
      <c r="B21" s="155"/>
      <c r="C21" s="155"/>
      <c r="D21" s="144"/>
      <c r="E21" s="144"/>
      <c r="F21" s="144"/>
      <c r="G21" s="145"/>
      <c r="H21" s="145"/>
      <c r="I21" s="145"/>
      <c r="J21" s="145"/>
      <c r="K21" s="145"/>
    </row>
    <row r="22" spans="1:11" ht="13.5">
      <c r="A22" s="157" t="s">
        <v>132</v>
      </c>
      <c r="B22" s="155"/>
      <c r="C22" s="155"/>
      <c r="D22" s="144"/>
      <c r="E22" s="144"/>
      <c r="F22" s="144"/>
      <c r="G22" s="145"/>
      <c r="H22" s="145"/>
      <c r="I22" s="145"/>
      <c r="J22" s="145"/>
      <c r="K22" s="145"/>
    </row>
    <row r="23" spans="1:11" ht="13.5">
      <c r="A23" s="155"/>
      <c r="B23" s="155"/>
      <c r="C23" s="155"/>
      <c r="D23" s="144"/>
      <c r="E23" s="144"/>
      <c r="F23" s="144"/>
      <c r="G23" s="145"/>
      <c r="H23" s="145"/>
      <c r="I23" s="145"/>
      <c r="J23" s="145"/>
      <c r="K23" s="145"/>
    </row>
    <row r="24" spans="1:11" ht="13.5">
      <c r="A24" s="158" t="s">
        <v>133</v>
      </c>
      <c r="B24" s="155"/>
      <c r="C24" s="155"/>
      <c r="D24" s="144"/>
      <c r="E24" s="144"/>
      <c r="F24" s="144"/>
      <c r="G24" s="145"/>
      <c r="H24" s="145"/>
      <c r="I24" s="145"/>
      <c r="J24" s="145"/>
      <c r="K24" s="145"/>
    </row>
    <row r="25" spans="1:11" ht="13.5">
      <c r="A25" s="159" t="s">
        <v>134</v>
      </c>
      <c r="B25" s="159"/>
      <c r="C25" s="159"/>
      <c r="D25" s="145"/>
      <c r="E25" s="145"/>
      <c r="F25" s="145"/>
      <c r="G25" s="145"/>
      <c r="H25" s="145"/>
      <c r="I25" s="145"/>
      <c r="J25" s="145"/>
      <c r="K25" s="145"/>
    </row>
    <row r="26" spans="1:11" ht="13.5">
      <c r="A26" s="159" t="s">
        <v>135</v>
      </c>
      <c r="B26" s="159"/>
      <c r="C26" s="159"/>
      <c r="D26" s="145"/>
      <c r="E26" s="145"/>
      <c r="F26" s="145"/>
      <c r="G26" s="145"/>
      <c r="H26" s="145"/>
      <c r="I26" s="145"/>
      <c r="J26" s="145"/>
      <c r="K26" s="145"/>
    </row>
    <row r="27" spans="1:11" ht="13.5">
      <c r="A27" s="159" t="s">
        <v>204</v>
      </c>
      <c r="B27" s="159"/>
      <c r="C27" s="159"/>
      <c r="D27" s="145"/>
      <c r="E27" s="145"/>
      <c r="F27" s="145"/>
      <c r="G27" s="145"/>
      <c r="H27" s="145"/>
      <c r="I27" s="145"/>
      <c r="J27" s="145"/>
      <c r="K27" s="145"/>
    </row>
    <row r="28" spans="1:11" ht="13.5">
      <c r="A28" s="145"/>
      <c r="B28" s="145"/>
      <c r="C28" s="145"/>
      <c r="D28" s="145"/>
      <c r="E28" s="145"/>
      <c r="F28" s="145"/>
      <c r="G28" s="145"/>
      <c r="H28" s="145"/>
      <c r="I28" s="145"/>
      <c r="J28" s="145"/>
      <c r="K28" s="145"/>
    </row>
    <row r="29" spans="1:11" ht="13.5">
      <c r="A29" s="261"/>
      <c r="B29" s="261"/>
      <c r="C29" s="261"/>
      <c r="D29" s="145"/>
      <c r="E29" s="145"/>
      <c r="F29" s="145"/>
      <c r="G29" s="145"/>
      <c r="H29" s="145"/>
      <c r="I29" s="145"/>
      <c r="J29" s="145"/>
      <c r="K29" s="145"/>
    </row>
    <row r="30" spans="1:11" ht="13.5">
      <c r="A30" s="465" t="s">
        <v>425</v>
      </c>
      <c r="B30" s="465"/>
      <c r="C30" s="465"/>
      <c r="D30" s="22"/>
      <c r="E30" s="145"/>
      <c r="F30" s="145"/>
      <c r="G30" s="145"/>
      <c r="H30" s="145"/>
      <c r="I30" s="145"/>
      <c r="J30" s="145"/>
      <c r="K30" s="145"/>
    </row>
    <row r="31" spans="1:11" ht="13.5">
      <c r="A31" s="145"/>
      <c r="B31" s="145"/>
      <c r="C31" s="145"/>
      <c r="D31" s="145"/>
      <c r="E31" s="145"/>
      <c r="F31" s="145"/>
      <c r="G31" s="145"/>
      <c r="H31" s="145"/>
      <c r="I31" s="145"/>
      <c r="J31" s="145"/>
      <c r="K31" s="145"/>
    </row>
    <row r="32" spans="1:11" ht="13.5">
      <c r="A32" s="145"/>
      <c r="B32" s="145"/>
      <c r="C32" s="145"/>
      <c r="D32" s="145"/>
      <c r="E32" s="145"/>
      <c r="F32" s="145"/>
      <c r="G32" s="145"/>
      <c r="H32" s="145"/>
      <c r="I32" s="145"/>
      <c r="J32" s="145"/>
      <c r="K32" s="145"/>
    </row>
    <row r="33" spans="1:11" ht="13.5">
      <c r="A33" s="145"/>
      <c r="B33" s="145"/>
      <c r="C33" s="145"/>
      <c r="D33" s="145"/>
      <c r="E33" s="145"/>
      <c r="F33" s="145"/>
      <c r="G33" s="145"/>
      <c r="H33" s="145"/>
      <c r="I33" s="145"/>
      <c r="J33" s="145"/>
      <c r="K33" s="145"/>
    </row>
    <row r="34" spans="1:11" ht="13.5">
      <c r="A34" s="145"/>
      <c r="B34" s="145"/>
      <c r="C34" s="145"/>
      <c r="D34" s="145"/>
      <c r="E34" s="145"/>
      <c r="F34" s="145"/>
      <c r="G34" s="145"/>
      <c r="H34" s="145"/>
      <c r="I34" s="145"/>
      <c r="J34" s="145"/>
      <c r="K34" s="145"/>
    </row>
    <row r="35" spans="1:11" ht="13.5">
      <c r="A35" s="145"/>
      <c r="B35" s="145"/>
      <c r="C35" s="145"/>
      <c r="D35" s="145"/>
      <c r="E35" s="145"/>
      <c r="F35" s="145"/>
      <c r="G35" s="145"/>
      <c r="H35" s="145"/>
      <c r="I35" s="145"/>
      <c r="J35" s="145"/>
      <c r="K35" s="145"/>
    </row>
    <row r="36" spans="1:11" ht="13.5">
      <c r="A36" s="145"/>
      <c r="B36" s="145"/>
      <c r="C36" s="145"/>
      <c r="D36" s="145"/>
      <c r="E36" s="145"/>
      <c r="F36" s="145"/>
      <c r="G36" s="145"/>
      <c r="H36" s="145"/>
      <c r="I36" s="145"/>
      <c r="J36" s="145"/>
      <c r="K36" s="145"/>
    </row>
    <row r="37" spans="1:11" ht="13.5">
      <c r="A37" s="145"/>
      <c r="B37" s="145"/>
      <c r="C37" s="145"/>
      <c r="D37" s="145"/>
      <c r="E37" s="145"/>
      <c r="F37" s="145"/>
      <c r="G37" s="145"/>
      <c r="H37" s="145"/>
      <c r="I37" s="145"/>
      <c r="J37" s="145"/>
      <c r="K37" s="145"/>
    </row>
    <row r="38" spans="1:11" ht="13.5">
      <c r="A38" s="145"/>
      <c r="B38" s="145"/>
      <c r="C38" s="145"/>
      <c r="D38" s="145"/>
      <c r="E38" s="145"/>
      <c r="F38" s="145"/>
      <c r="G38" s="145"/>
      <c r="H38" s="145"/>
      <c r="I38" s="145"/>
      <c r="J38" s="145"/>
      <c r="K38" s="145"/>
    </row>
    <row r="39" spans="1:11" ht="13.5">
      <c r="A39" s="145"/>
      <c r="B39" s="145"/>
      <c r="C39" s="145"/>
      <c r="D39" s="145"/>
      <c r="E39" s="145"/>
      <c r="F39" s="145"/>
      <c r="G39" s="145"/>
      <c r="H39" s="145"/>
      <c r="I39" s="145"/>
      <c r="J39" s="145"/>
      <c r="K39" s="145"/>
    </row>
    <row r="40" spans="1:11" ht="13.5">
      <c r="A40" s="145"/>
      <c r="B40" s="145"/>
      <c r="C40" s="145"/>
      <c r="D40" s="145"/>
      <c r="E40" s="145"/>
      <c r="F40" s="145"/>
      <c r="G40" s="145"/>
      <c r="H40" s="145"/>
      <c r="I40" s="145"/>
      <c r="J40" s="145"/>
      <c r="K40" s="145"/>
    </row>
  </sheetData>
  <sheetProtection password="CA27" sheet="1" objects="1" scenarios="1"/>
  <mergeCells count="1">
    <mergeCell ref="A30:C30"/>
  </mergeCells>
  <conditionalFormatting sqref="B19">
    <cfRule type="cellIs" priority="1" dxfId="1" operator="greaterThanOrEqual" stopIfTrue="1">
      <formula>0.1</formula>
    </cfRule>
    <cfRule type="cellIs" priority="2" dxfId="6" operator="greaterThanOrEqual" stopIfTrue="1">
      <formula>0.05</formula>
    </cfRule>
  </conditionalFormatting>
  <dataValidations count="2">
    <dataValidation type="whole" allowBlank="1" showErrorMessage="1" errorTitle="Range error" error="Input age between 0-120" sqref="B5">
      <formula1>0</formula1>
      <formula2>120</formula2>
    </dataValidation>
    <dataValidation type="whole" allowBlank="1" showInputMessage="1" showErrorMessage="1" errorTitle="Input error" error="Please enter&#10; 0 for No&#10; 1 for Yes" sqref="B6:B8 B10:B13 B15:B16">
      <formula1>0</formula1>
      <formula2>1</formula2>
    </dataValidation>
  </dataValidations>
  <hyperlinks>
    <hyperlink ref="A22" r:id="rId1" display="www.timi.tv"/>
    <hyperlink ref="C2" location="Intro!C2" display="Home"/>
  </hyperlinks>
  <printOptions horizontalCentered="1"/>
  <pageMargins left="0.7480314960629921" right="0.7480314960629921" top="0.7874015748031497" bottom="0.7874015748031497" header="0.5118110236220472" footer="0.5118110236220472"/>
  <pageSetup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K40"/>
  <sheetViews>
    <sheetView workbookViewId="0" topLeftCell="A1">
      <selection activeCell="B5" sqref="B5"/>
    </sheetView>
  </sheetViews>
  <sheetFormatPr defaultColWidth="9.00390625" defaultRowHeight="13.5"/>
  <cols>
    <col min="1" max="1" width="60.625" style="0" customWidth="1"/>
  </cols>
  <sheetData>
    <row r="1" spans="1:11" ht="15">
      <c r="A1" s="259" t="s">
        <v>138</v>
      </c>
      <c r="B1" s="141"/>
      <c r="C1" s="141"/>
      <c r="D1" s="142"/>
      <c r="E1" s="143"/>
      <c r="F1" s="155"/>
      <c r="G1" s="155"/>
      <c r="H1" s="155"/>
      <c r="I1" s="155"/>
      <c r="J1" s="155"/>
      <c r="K1" s="155"/>
    </row>
    <row r="2" spans="1:11" ht="13.5">
      <c r="A2" s="146" t="s">
        <v>139</v>
      </c>
      <c r="B2" s="141"/>
      <c r="C2" s="355" t="s">
        <v>376</v>
      </c>
      <c r="D2" s="142"/>
      <c r="E2" s="143"/>
      <c r="F2" s="155"/>
      <c r="G2" s="155"/>
      <c r="H2" s="155"/>
      <c r="I2" s="155"/>
      <c r="J2" s="155"/>
      <c r="K2" s="155"/>
    </row>
    <row r="3" spans="1:11" ht="13.5">
      <c r="A3" s="146" t="s">
        <v>140</v>
      </c>
      <c r="B3" s="147"/>
      <c r="C3" s="147"/>
      <c r="D3" s="142"/>
      <c r="E3" s="143"/>
      <c r="F3" s="155"/>
      <c r="G3" s="155"/>
      <c r="H3" s="155"/>
      <c r="I3" s="155"/>
      <c r="J3" s="155"/>
      <c r="K3" s="155"/>
    </row>
    <row r="4" spans="1:11" ht="13.5">
      <c r="A4" s="466" t="s">
        <v>116</v>
      </c>
      <c r="B4" s="466"/>
      <c r="C4" s="467"/>
      <c r="D4" s="142"/>
      <c r="E4" s="143"/>
      <c r="F4" s="155"/>
      <c r="G4" s="155"/>
      <c r="H4" s="155"/>
      <c r="I4" s="155"/>
      <c r="J4" s="155"/>
      <c r="K4" s="155"/>
    </row>
    <row r="5" spans="1:11" ht="13.5">
      <c r="A5" s="150" t="s">
        <v>141</v>
      </c>
      <c r="B5" s="277">
        <v>50</v>
      </c>
      <c r="C5" s="278" t="s">
        <v>117</v>
      </c>
      <c r="D5" s="143">
        <f>IF(B5&gt;=65,1,0)</f>
        <v>0</v>
      </c>
      <c r="E5" s="143"/>
      <c r="F5" s="155"/>
      <c r="G5" s="155"/>
      <c r="H5" s="155"/>
      <c r="I5" s="155"/>
      <c r="J5" s="155"/>
      <c r="K5" s="155"/>
    </row>
    <row r="6" spans="1:11" ht="13.5">
      <c r="A6" s="150" t="s">
        <v>142</v>
      </c>
      <c r="B6" s="277">
        <v>0</v>
      </c>
      <c r="C6" s="278" t="s">
        <v>119</v>
      </c>
      <c r="D6" s="143">
        <f aca="true" t="shared" si="0" ref="D6:D12">IF(OR(B6="Y",B6="Yes",B6=1),1,0)</f>
        <v>0</v>
      </c>
      <c r="E6" s="143">
        <f>IF((D6+D7+D8+D9+D10)&gt;=3,1,0)</f>
        <v>0</v>
      </c>
      <c r="F6" s="155"/>
      <c r="G6" s="155"/>
      <c r="H6" s="155"/>
      <c r="I6" s="155"/>
      <c r="J6" s="155"/>
      <c r="K6" s="155"/>
    </row>
    <row r="7" spans="1:11" ht="13.5">
      <c r="A7" s="150" t="s">
        <v>120</v>
      </c>
      <c r="B7" s="277">
        <v>0</v>
      </c>
      <c r="C7" s="278" t="s">
        <v>119</v>
      </c>
      <c r="D7" s="143">
        <f t="shared" si="0"/>
        <v>0</v>
      </c>
      <c r="E7" s="143"/>
      <c r="F7" s="155"/>
      <c r="G7" s="155"/>
      <c r="H7" s="155"/>
      <c r="I7" s="155"/>
      <c r="J7" s="155"/>
      <c r="K7" s="155"/>
    </row>
    <row r="8" spans="1:11" ht="13.5">
      <c r="A8" s="150" t="s">
        <v>143</v>
      </c>
      <c r="B8" s="277">
        <v>0</v>
      </c>
      <c r="C8" s="278" t="s">
        <v>119</v>
      </c>
      <c r="D8" s="143">
        <f t="shared" si="0"/>
        <v>0</v>
      </c>
      <c r="E8" s="160"/>
      <c r="F8" s="155"/>
      <c r="G8" s="155"/>
      <c r="H8" s="155"/>
      <c r="I8" s="155"/>
      <c r="J8" s="155"/>
      <c r="K8" s="155"/>
    </row>
    <row r="9" spans="1:11" ht="13.5">
      <c r="A9" s="150" t="s">
        <v>121</v>
      </c>
      <c r="B9" s="277">
        <v>0</v>
      </c>
      <c r="C9" s="278" t="s">
        <v>119</v>
      </c>
      <c r="D9" s="143">
        <f t="shared" si="0"/>
        <v>0</v>
      </c>
      <c r="E9" s="143"/>
      <c r="F9" s="155"/>
      <c r="G9" s="155"/>
      <c r="H9" s="155"/>
      <c r="I9" s="155"/>
      <c r="J9" s="155"/>
      <c r="K9" s="155"/>
    </row>
    <row r="10" spans="1:11" ht="13.5">
      <c r="A10" s="150" t="s">
        <v>144</v>
      </c>
      <c r="B10" s="277">
        <v>0</v>
      </c>
      <c r="C10" s="278" t="s">
        <v>119</v>
      </c>
      <c r="D10" s="143">
        <f t="shared" si="0"/>
        <v>0</v>
      </c>
      <c r="E10" s="143"/>
      <c r="F10" s="155"/>
      <c r="G10" s="155"/>
      <c r="H10" s="155"/>
      <c r="I10" s="155"/>
      <c r="J10" s="155"/>
      <c r="K10" s="155"/>
    </row>
    <row r="11" spans="1:11" ht="13.5">
      <c r="A11" s="150" t="s">
        <v>145</v>
      </c>
      <c r="B11" s="277">
        <v>0</v>
      </c>
      <c r="C11" s="278" t="s">
        <v>119</v>
      </c>
      <c r="D11" s="143">
        <f t="shared" si="0"/>
        <v>0</v>
      </c>
      <c r="E11" s="143"/>
      <c r="F11" s="155"/>
      <c r="G11" s="155"/>
      <c r="H11" s="155"/>
      <c r="I11" s="155"/>
      <c r="J11" s="155"/>
      <c r="K11" s="155"/>
    </row>
    <row r="12" spans="1:11" ht="13.5">
      <c r="A12" s="150" t="s">
        <v>146</v>
      </c>
      <c r="B12" s="277">
        <v>0</v>
      </c>
      <c r="C12" s="278" t="s">
        <v>119</v>
      </c>
      <c r="D12" s="143">
        <f t="shared" si="0"/>
        <v>0</v>
      </c>
      <c r="E12" s="143"/>
      <c r="F12" s="155"/>
      <c r="G12" s="155"/>
      <c r="H12" s="155"/>
      <c r="I12" s="155"/>
      <c r="J12" s="155"/>
      <c r="K12" s="155"/>
    </row>
    <row r="13" spans="1:11" ht="13.5">
      <c r="A13" s="468" t="s">
        <v>127</v>
      </c>
      <c r="B13" s="469"/>
      <c r="C13" s="470"/>
      <c r="D13" s="143"/>
      <c r="E13" s="143"/>
      <c r="F13" s="155"/>
      <c r="G13" s="155"/>
      <c r="H13" s="155"/>
      <c r="I13" s="155"/>
      <c r="J13" s="155"/>
      <c r="K13" s="155"/>
    </row>
    <row r="14" spans="1:11" ht="13.5">
      <c r="A14" s="150" t="s">
        <v>147</v>
      </c>
      <c r="B14" s="277">
        <v>0</v>
      </c>
      <c r="C14" s="278" t="s">
        <v>119</v>
      </c>
      <c r="D14" s="143">
        <f>IF(OR(B14="Y",B14="Yes",B14=1),1,0)</f>
        <v>0</v>
      </c>
      <c r="E14" s="143"/>
      <c r="F14" s="155"/>
      <c r="G14" s="155"/>
      <c r="H14" s="155"/>
      <c r="I14" s="155"/>
      <c r="J14" s="155"/>
      <c r="K14" s="155"/>
    </row>
    <row r="15" spans="1:11" ht="13.5">
      <c r="A15" s="150" t="s">
        <v>148</v>
      </c>
      <c r="B15" s="277">
        <v>0</v>
      </c>
      <c r="C15" s="278" t="s">
        <v>119</v>
      </c>
      <c r="D15" s="143">
        <f>IF(OR(B15="Y",B15="Yes",B15=1),1,0)</f>
        <v>0</v>
      </c>
      <c r="E15" s="143"/>
      <c r="F15" s="155"/>
      <c r="G15" s="155"/>
      <c r="H15" s="155"/>
      <c r="I15" s="155"/>
      <c r="J15" s="155"/>
      <c r="K15" s="155"/>
    </row>
    <row r="16" spans="1:11" ht="13.5">
      <c r="A16" s="150" t="s">
        <v>149</v>
      </c>
      <c r="B16" s="277">
        <v>0</v>
      </c>
      <c r="C16" s="278" t="s">
        <v>119</v>
      </c>
      <c r="D16" s="143">
        <f>IF(OR(B16="Y",B16="Yes",B16=1),1,0)</f>
        <v>0</v>
      </c>
      <c r="E16" s="143"/>
      <c r="F16" s="155"/>
      <c r="G16" s="155"/>
      <c r="H16" s="155"/>
      <c r="I16" s="155"/>
      <c r="J16" s="155"/>
      <c r="K16" s="155"/>
    </row>
    <row r="17" spans="1:11" ht="13.5">
      <c r="A17" s="151"/>
      <c r="B17" s="152"/>
      <c r="C17" s="146"/>
      <c r="D17" s="143"/>
      <c r="E17" s="143"/>
      <c r="F17" s="155"/>
      <c r="G17" s="155"/>
      <c r="H17" s="155"/>
      <c r="I17" s="155"/>
      <c r="J17" s="155"/>
      <c r="K17" s="155"/>
    </row>
    <row r="18" spans="1:11" ht="13.5">
      <c r="A18" s="316" t="s">
        <v>150</v>
      </c>
      <c r="B18" s="361">
        <f>D5+E6+D11+D12+D14+D15+D16</f>
        <v>0</v>
      </c>
      <c r="C18" s="146"/>
      <c r="D18" s="142"/>
      <c r="E18" s="143"/>
      <c r="F18" s="155"/>
      <c r="G18" s="155"/>
      <c r="H18" s="155"/>
      <c r="I18" s="155"/>
      <c r="J18" s="155"/>
      <c r="K18" s="155"/>
    </row>
    <row r="19" spans="1:11" ht="13.5">
      <c r="A19" s="358" t="s">
        <v>151</v>
      </c>
      <c r="B19" s="362">
        <f>IF(OR(B18=0,B18=1),3,IF(B18=2,3,IF(B18=3,5,IF(B18=4,7,IF(B18=5,12,IF(OR(B18=6,B18=7),19," "))))))/100</f>
        <v>0.03</v>
      </c>
      <c r="C19" s="141"/>
      <c r="D19" s="142"/>
      <c r="E19" s="143"/>
      <c r="F19" s="155"/>
      <c r="G19" s="155"/>
      <c r="H19" s="155"/>
      <c r="I19" s="155"/>
      <c r="J19" s="155"/>
      <c r="K19" s="155"/>
    </row>
    <row r="20" spans="1:11" ht="13.5">
      <c r="A20" s="358" t="s">
        <v>152</v>
      </c>
      <c r="B20" s="363">
        <f>IF(OR(B18=0,B18=1),4.7,IF(B18=2,8.3,IF(B18=3,13.2,IF(B18=4,19.9,IF(B18=5,26.2,IF(OR(B18=6,B18=7),40.9," "))))))/100</f>
        <v>0.047</v>
      </c>
      <c r="C20" s="154"/>
      <c r="D20" s="143"/>
      <c r="E20" s="143"/>
      <c r="F20" s="155"/>
      <c r="G20" s="155"/>
      <c r="H20" s="155"/>
      <c r="I20" s="155"/>
      <c r="J20" s="155"/>
      <c r="K20" s="155"/>
    </row>
    <row r="21" spans="1:11" ht="13.5">
      <c r="A21" s="155"/>
      <c r="B21" s="156" t="str">
        <f>IF(B18&lt;3,"Low Risk",IF(B18&lt;5,"Intermediate Risk","High Risk"))</f>
        <v>Low Risk</v>
      </c>
      <c r="C21" s="155"/>
      <c r="D21" s="143"/>
      <c r="E21" s="143"/>
      <c r="F21" s="155"/>
      <c r="G21" s="155"/>
      <c r="H21" s="155"/>
      <c r="I21" s="155"/>
      <c r="J21" s="155"/>
      <c r="K21" s="155"/>
    </row>
    <row r="22" spans="1:11" ht="13.5">
      <c r="A22" s="155" t="s">
        <v>153</v>
      </c>
      <c r="B22" s="155"/>
      <c r="C22" s="155"/>
      <c r="D22" s="143"/>
      <c r="E22" s="143"/>
      <c r="F22" s="155"/>
      <c r="G22" s="155"/>
      <c r="H22" s="155"/>
      <c r="I22" s="155"/>
      <c r="J22" s="155"/>
      <c r="K22" s="155"/>
    </row>
    <row r="23" spans="1:11" ht="13.5">
      <c r="A23" s="157" t="s">
        <v>132</v>
      </c>
      <c r="B23" s="155"/>
      <c r="C23" s="155"/>
      <c r="D23" s="143"/>
      <c r="E23" s="143"/>
      <c r="F23" s="155"/>
      <c r="G23" s="155"/>
      <c r="H23" s="155"/>
      <c r="I23" s="155"/>
      <c r="J23" s="155"/>
      <c r="K23" s="155"/>
    </row>
    <row r="24" spans="1:11" ht="13.5">
      <c r="A24" s="161"/>
      <c r="B24" s="144"/>
      <c r="C24" s="144"/>
      <c r="D24" s="143"/>
      <c r="E24" s="143"/>
      <c r="F24" s="144"/>
      <c r="G24" s="155"/>
      <c r="H24" s="155"/>
      <c r="I24" s="155"/>
      <c r="J24" s="155"/>
      <c r="K24" s="155"/>
    </row>
    <row r="25" spans="1:11" ht="13.5">
      <c r="A25" s="159"/>
      <c r="B25" s="159"/>
      <c r="C25" s="159"/>
      <c r="D25" s="145"/>
      <c r="E25" s="145"/>
      <c r="F25" s="145"/>
      <c r="G25" s="155"/>
      <c r="H25" s="155"/>
      <c r="I25" s="155"/>
      <c r="J25" s="155"/>
      <c r="K25" s="155"/>
    </row>
    <row r="26" spans="1:11" ht="13.5">
      <c r="A26" s="159"/>
      <c r="B26" s="159"/>
      <c r="C26" s="159"/>
      <c r="D26" s="145"/>
      <c r="E26" s="145"/>
      <c r="F26" s="145"/>
      <c r="G26" s="155"/>
      <c r="H26" s="155"/>
      <c r="I26" s="155"/>
      <c r="J26" s="155"/>
      <c r="K26" s="155"/>
    </row>
    <row r="27" spans="1:11" ht="13.5">
      <c r="A27" s="159"/>
      <c r="B27" s="159"/>
      <c r="C27" s="159"/>
      <c r="D27" s="145"/>
      <c r="E27" s="145"/>
      <c r="F27" s="145"/>
      <c r="G27" s="155"/>
      <c r="H27" s="155"/>
      <c r="I27" s="155"/>
      <c r="J27" s="155"/>
      <c r="K27" s="155"/>
    </row>
    <row r="28" spans="1:11" ht="13.5">
      <c r="A28" s="155"/>
      <c r="B28" s="155"/>
      <c r="C28" s="155"/>
      <c r="D28" s="155"/>
      <c r="E28" s="155"/>
      <c r="F28" s="155"/>
      <c r="G28" s="155"/>
      <c r="H28" s="155"/>
      <c r="I28" s="155"/>
      <c r="J28" s="155"/>
      <c r="K28" s="155"/>
    </row>
    <row r="29" spans="1:11" ht="13.5">
      <c r="A29" s="248"/>
      <c r="B29" s="248"/>
      <c r="C29" s="248"/>
      <c r="D29" s="155"/>
      <c r="E29" s="155"/>
      <c r="F29" s="155"/>
      <c r="G29" s="155"/>
      <c r="H29" s="155"/>
      <c r="I29" s="155"/>
      <c r="J29" s="155"/>
      <c r="K29" s="155"/>
    </row>
    <row r="30" spans="1:11" ht="13.5">
      <c r="A30" s="465" t="s">
        <v>427</v>
      </c>
      <c r="B30" s="465"/>
      <c r="C30" s="465"/>
      <c r="D30" s="155"/>
      <c r="E30" s="155"/>
      <c r="F30" s="155"/>
      <c r="G30" s="155"/>
      <c r="H30" s="155"/>
      <c r="I30" s="155"/>
      <c r="J30" s="155"/>
      <c r="K30" s="155"/>
    </row>
    <row r="31" spans="1:11" ht="13.5">
      <c r="A31" s="155"/>
      <c r="B31" s="155"/>
      <c r="C31" s="155"/>
      <c r="D31" s="155"/>
      <c r="E31" s="155"/>
      <c r="F31" s="155"/>
      <c r="G31" s="155"/>
      <c r="H31" s="155"/>
      <c r="I31" s="155"/>
      <c r="J31" s="155"/>
      <c r="K31" s="155"/>
    </row>
    <row r="32" spans="1:11" ht="13.5">
      <c r="A32" s="155"/>
      <c r="B32" s="155"/>
      <c r="C32" s="155"/>
      <c r="D32" s="155"/>
      <c r="E32" s="155"/>
      <c r="F32" s="155"/>
      <c r="G32" s="155"/>
      <c r="H32" s="155"/>
      <c r="I32" s="155"/>
      <c r="J32" s="155"/>
      <c r="K32" s="155"/>
    </row>
    <row r="33" spans="1:11" ht="13.5">
      <c r="A33" s="155"/>
      <c r="B33" s="155"/>
      <c r="C33" s="155"/>
      <c r="D33" s="155"/>
      <c r="E33" s="155"/>
      <c r="F33" s="155"/>
      <c r="G33" s="155"/>
      <c r="H33" s="155"/>
      <c r="I33" s="155"/>
      <c r="J33" s="155"/>
      <c r="K33" s="155"/>
    </row>
    <row r="34" spans="1:11" ht="13.5">
      <c r="A34" s="155"/>
      <c r="B34" s="155"/>
      <c r="C34" s="155"/>
      <c r="D34" s="155"/>
      <c r="E34" s="155"/>
      <c r="F34" s="155"/>
      <c r="G34" s="155"/>
      <c r="H34" s="155"/>
      <c r="I34" s="155"/>
      <c r="J34" s="155"/>
      <c r="K34" s="155"/>
    </row>
    <row r="35" spans="1:11" ht="13.5">
      <c r="A35" s="155"/>
      <c r="B35" s="155"/>
      <c r="C35" s="155"/>
      <c r="D35" s="155"/>
      <c r="E35" s="155"/>
      <c r="F35" s="155"/>
      <c r="G35" s="155"/>
      <c r="H35" s="155"/>
      <c r="I35" s="155"/>
      <c r="J35" s="155"/>
      <c r="K35" s="155"/>
    </row>
    <row r="36" spans="1:11" ht="13.5">
      <c r="A36" s="155"/>
      <c r="B36" s="155"/>
      <c r="C36" s="155"/>
      <c r="D36" s="155"/>
      <c r="E36" s="155"/>
      <c r="F36" s="155"/>
      <c r="G36" s="155"/>
      <c r="H36" s="155"/>
      <c r="I36" s="155"/>
      <c r="J36" s="155"/>
      <c r="K36" s="155"/>
    </row>
    <row r="37" spans="1:11" ht="13.5">
      <c r="A37" s="155"/>
      <c r="B37" s="155"/>
      <c r="C37" s="155"/>
      <c r="D37" s="155"/>
      <c r="E37" s="155"/>
      <c r="F37" s="155"/>
      <c r="G37" s="155"/>
      <c r="H37" s="155"/>
      <c r="I37" s="155"/>
      <c r="J37" s="155"/>
      <c r="K37" s="155"/>
    </row>
    <row r="38" spans="1:11" ht="13.5">
      <c r="A38" s="155"/>
      <c r="B38" s="155"/>
      <c r="C38" s="155"/>
      <c r="D38" s="155"/>
      <c r="E38" s="155"/>
      <c r="F38" s="155"/>
      <c r="G38" s="155"/>
      <c r="H38" s="155"/>
      <c r="I38" s="155"/>
      <c r="J38" s="155"/>
      <c r="K38" s="155"/>
    </row>
    <row r="39" spans="1:11" ht="13.5">
      <c r="A39" s="155"/>
      <c r="B39" s="155"/>
      <c r="C39" s="155"/>
      <c r="D39" s="155"/>
      <c r="E39" s="155"/>
      <c r="F39" s="155"/>
      <c r="G39" s="155"/>
      <c r="H39" s="155"/>
      <c r="I39" s="155"/>
      <c r="J39" s="155"/>
      <c r="K39" s="155"/>
    </row>
    <row r="40" spans="1:11" ht="13.5">
      <c r="A40" s="155"/>
      <c r="B40" s="155"/>
      <c r="C40" s="155"/>
      <c r="D40" s="155"/>
      <c r="E40" s="155"/>
      <c r="F40" s="155"/>
      <c r="G40" s="155"/>
      <c r="H40" s="155"/>
      <c r="I40" s="155"/>
      <c r="J40" s="155"/>
      <c r="K40" s="155"/>
    </row>
  </sheetData>
  <sheetProtection password="CA27" sheet="1" objects="1" scenarios="1"/>
  <mergeCells count="3">
    <mergeCell ref="A30:C30"/>
    <mergeCell ref="A4:C4"/>
    <mergeCell ref="A13:C13"/>
  </mergeCells>
  <conditionalFormatting sqref="B19">
    <cfRule type="cellIs" priority="1" dxfId="1" operator="greaterThanOrEqual" stopIfTrue="1">
      <formula>0.1</formula>
    </cfRule>
    <cfRule type="cellIs" priority="2" dxfId="6" operator="greaterThanOrEqual" stopIfTrue="1">
      <formula>0.05</formula>
    </cfRule>
  </conditionalFormatting>
  <conditionalFormatting sqref="B20">
    <cfRule type="cellIs" priority="3" dxfId="1" operator="greaterThanOrEqual" stopIfTrue="1">
      <formula>0.2</formula>
    </cfRule>
    <cfRule type="cellIs" priority="4" dxfId="6" operator="greaterThanOrEqual" stopIfTrue="1">
      <formula>0.05</formula>
    </cfRule>
  </conditionalFormatting>
  <dataValidations count="2">
    <dataValidation type="whole" allowBlank="1" showErrorMessage="1" errorTitle="Range error" error="Input age between 0-120" sqref="B5">
      <formula1>0</formula1>
      <formula2>120</formula2>
    </dataValidation>
    <dataValidation type="whole" allowBlank="1" showErrorMessage="1" errorTitle="Input error" error="Please enter&#10; 0 for No&#10; 1 for Yes" sqref="B6:B12 B14:B16">
      <formula1>0</formula1>
      <formula2>1</formula2>
    </dataValidation>
  </dataValidations>
  <hyperlinks>
    <hyperlink ref="A23" r:id="rId1" display="www.timi.tv"/>
    <hyperlink ref="C2" location="Intro!C2" display="Home"/>
  </hyperlinks>
  <printOptions/>
  <pageMargins left="0.75" right="0.75" top="1" bottom="1" header="0.5" footer="0.5"/>
  <pageSetup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7"/>
  <dimension ref="A1:K41"/>
  <sheetViews>
    <sheetView workbookViewId="0" topLeftCell="A1">
      <selection activeCell="C4" sqref="C4:E4"/>
    </sheetView>
  </sheetViews>
  <sheetFormatPr defaultColWidth="9.00390625" defaultRowHeight="13.5"/>
  <cols>
    <col min="1" max="1" width="19.00390625" style="0" customWidth="1"/>
    <col min="2" max="2" width="39.125" style="0" customWidth="1"/>
    <col min="3" max="5" width="12.625" style="0" customWidth="1"/>
  </cols>
  <sheetData>
    <row r="1" spans="1:11" ht="15">
      <c r="A1" s="471" t="s">
        <v>414</v>
      </c>
      <c r="B1" s="471"/>
      <c r="C1" s="471"/>
      <c r="D1" s="471"/>
      <c r="E1" s="471"/>
      <c r="F1" s="145"/>
      <c r="G1" s="145"/>
      <c r="H1" s="145"/>
      <c r="I1" s="145"/>
      <c r="J1" s="145"/>
      <c r="K1" s="145"/>
    </row>
    <row r="2" spans="1:11" ht="14.25" thickBot="1">
      <c r="A2" s="145"/>
      <c r="B2" s="145"/>
      <c r="C2" s="145"/>
      <c r="D2" s="145"/>
      <c r="E2" s="145"/>
      <c r="F2" s="145"/>
      <c r="G2" s="145"/>
      <c r="H2" s="145"/>
      <c r="I2" s="145"/>
      <c r="J2" s="145"/>
      <c r="K2" s="145"/>
    </row>
    <row r="3" spans="1:11" ht="14.25" thickBot="1">
      <c r="A3" s="481"/>
      <c r="B3" s="482"/>
      <c r="C3" s="475" t="s">
        <v>154</v>
      </c>
      <c r="D3" s="475"/>
      <c r="E3" s="476"/>
      <c r="F3" s="145"/>
      <c r="G3" s="145"/>
      <c r="H3" s="145"/>
      <c r="I3" s="145"/>
      <c r="J3" s="145"/>
      <c r="K3" s="145"/>
    </row>
    <row r="4" spans="1:11" ht="13.5">
      <c r="A4" s="207" t="s">
        <v>155</v>
      </c>
      <c r="B4" s="166"/>
      <c r="C4" s="477" t="s">
        <v>156</v>
      </c>
      <c r="D4" s="477"/>
      <c r="E4" s="478"/>
      <c r="F4" s="145"/>
      <c r="G4" s="145"/>
      <c r="H4" s="145"/>
      <c r="I4" s="145"/>
      <c r="J4" s="145"/>
      <c r="K4" s="145"/>
    </row>
    <row r="5" spans="1:11" ht="14.25" thickBot="1">
      <c r="A5" s="202" t="s">
        <v>158</v>
      </c>
      <c r="B5" s="203" t="s">
        <v>157</v>
      </c>
      <c r="C5" s="204" t="s">
        <v>159</v>
      </c>
      <c r="D5" s="205" t="s">
        <v>160</v>
      </c>
      <c r="E5" s="206" t="s">
        <v>161</v>
      </c>
      <c r="F5" s="145"/>
      <c r="G5" s="145"/>
      <c r="H5" s="145"/>
      <c r="I5" s="145"/>
      <c r="J5" s="145"/>
      <c r="K5" s="145"/>
    </row>
    <row r="6" spans="1:11" ht="30" customHeight="1">
      <c r="A6" s="393" t="s">
        <v>162</v>
      </c>
      <c r="B6" s="201" t="s">
        <v>170</v>
      </c>
      <c r="C6" s="390">
        <v>0.34</v>
      </c>
      <c r="D6" s="391">
        <v>0.19</v>
      </c>
      <c r="E6" s="392">
        <v>0.22</v>
      </c>
      <c r="F6" s="145"/>
      <c r="G6" s="145"/>
      <c r="H6" s="145"/>
      <c r="I6" s="145"/>
      <c r="J6" s="145"/>
      <c r="K6" s="145"/>
    </row>
    <row r="7" spans="1:11" ht="30" customHeight="1">
      <c r="A7" s="196" t="s">
        <v>164</v>
      </c>
      <c r="B7" s="199" t="s">
        <v>163</v>
      </c>
      <c r="C7" s="394">
        <v>0.16</v>
      </c>
      <c r="D7" s="162">
        <v>0.09</v>
      </c>
      <c r="E7" s="163">
        <v>0.07</v>
      </c>
      <c r="F7" s="145"/>
      <c r="G7" s="145"/>
      <c r="H7" s="145"/>
      <c r="I7" s="145"/>
      <c r="J7" s="145"/>
      <c r="K7" s="145"/>
    </row>
    <row r="8" spans="1:11" ht="30" customHeight="1">
      <c r="A8" s="170" t="s">
        <v>165</v>
      </c>
      <c r="B8" s="198" t="s">
        <v>205</v>
      </c>
      <c r="C8" s="164">
        <v>0.05</v>
      </c>
      <c r="D8" s="162">
        <v>0.07</v>
      </c>
      <c r="E8" s="171">
        <v>0.01</v>
      </c>
      <c r="F8" s="145"/>
      <c r="G8" s="145"/>
      <c r="H8" s="145"/>
      <c r="I8" s="145"/>
      <c r="J8" s="145"/>
      <c r="K8" s="145"/>
    </row>
    <row r="9" spans="1:11" ht="30" customHeight="1" thickBot="1">
      <c r="A9" s="197" t="s">
        <v>167</v>
      </c>
      <c r="B9" s="200" t="s">
        <v>166</v>
      </c>
      <c r="C9" s="395">
        <v>0.27</v>
      </c>
      <c r="D9" s="396">
        <v>0.16</v>
      </c>
      <c r="E9" s="172">
        <v>0.03</v>
      </c>
      <c r="F9" s="145"/>
      <c r="G9" s="145"/>
      <c r="H9" s="145"/>
      <c r="I9" s="145"/>
      <c r="J9" s="145"/>
      <c r="K9" s="145"/>
    </row>
    <row r="10" spans="1:11" ht="13.5">
      <c r="A10" s="145"/>
      <c r="B10" s="145"/>
      <c r="C10" s="145"/>
      <c r="D10" s="145"/>
      <c r="E10" s="145"/>
      <c r="F10" s="145"/>
      <c r="G10" s="145"/>
      <c r="H10" s="145"/>
      <c r="I10" s="145"/>
      <c r="J10" s="145"/>
      <c r="K10" s="145"/>
    </row>
    <row r="11" spans="1:11" ht="40.5" customHeight="1">
      <c r="A11" s="479" t="s">
        <v>171</v>
      </c>
      <c r="B11" s="479"/>
      <c r="C11" s="479"/>
      <c r="D11" s="479"/>
      <c r="E11" s="479"/>
      <c r="F11" s="145"/>
      <c r="G11" s="145"/>
      <c r="H11" s="145"/>
      <c r="I11" s="145"/>
      <c r="J11" s="145"/>
      <c r="K11" s="145"/>
    </row>
    <row r="12" spans="1:11" ht="15" customHeight="1">
      <c r="A12" s="389" t="s">
        <v>191</v>
      </c>
      <c r="B12" s="388"/>
      <c r="C12" s="388"/>
      <c r="D12" s="388"/>
      <c r="E12" s="388"/>
      <c r="F12" s="145"/>
      <c r="G12" s="145"/>
      <c r="H12" s="145"/>
      <c r="I12" s="145"/>
      <c r="J12" s="145"/>
      <c r="K12" s="145"/>
    </row>
    <row r="13" spans="1:11" ht="24" customHeight="1">
      <c r="A13" s="480" t="s">
        <v>168</v>
      </c>
      <c r="B13" s="480"/>
      <c r="C13" s="480"/>
      <c r="D13" s="480"/>
      <c r="E13" s="480"/>
      <c r="F13" s="143"/>
      <c r="G13" s="145"/>
      <c r="H13" s="145"/>
      <c r="I13" s="145"/>
      <c r="J13" s="145"/>
      <c r="K13" s="145"/>
    </row>
    <row r="14" spans="1:11" ht="15" customHeight="1">
      <c r="A14" s="474" t="s">
        <v>169</v>
      </c>
      <c r="B14" s="474"/>
      <c r="C14" s="474"/>
      <c r="D14" s="474"/>
      <c r="E14" s="474"/>
      <c r="F14" s="145"/>
      <c r="G14" s="145"/>
      <c r="H14" s="145"/>
      <c r="I14" s="145"/>
      <c r="J14" s="145"/>
      <c r="K14" s="145"/>
    </row>
    <row r="15" spans="1:11" ht="13.5">
      <c r="A15" s="145"/>
      <c r="B15" s="145"/>
      <c r="C15" s="145"/>
      <c r="D15" s="145"/>
      <c r="E15" s="145"/>
      <c r="F15" s="145"/>
      <c r="G15" s="145"/>
      <c r="H15" s="145"/>
      <c r="I15" s="145"/>
      <c r="J15" s="145"/>
      <c r="K15" s="145"/>
    </row>
    <row r="16" spans="1:11" ht="13.5">
      <c r="A16" s="144"/>
      <c r="B16" s="145"/>
      <c r="C16" s="145"/>
      <c r="D16" s="145"/>
      <c r="E16" s="145"/>
      <c r="F16" s="145"/>
      <c r="G16" s="145"/>
      <c r="H16" s="145"/>
      <c r="I16" s="145"/>
      <c r="J16" s="145"/>
      <c r="K16" s="145"/>
    </row>
    <row r="17" spans="1:11" ht="13.5">
      <c r="A17" s="144"/>
      <c r="B17" s="145"/>
      <c r="C17" s="145"/>
      <c r="D17" s="145"/>
      <c r="E17" s="145"/>
      <c r="F17" s="145"/>
      <c r="G17" s="145"/>
      <c r="H17" s="145"/>
      <c r="I17" s="145"/>
      <c r="J17" s="145"/>
      <c r="K17" s="145"/>
    </row>
    <row r="18" spans="1:11" ht="13.5">
      <c r="A18" s="144"/>
      <c r="B18" s="145"/>
      <c r="C18" s="145"/>
      <c r="D18" s="145"/>
      <c r="E18" s="145"/>
      <c r="F18" s="145"/>
      <c r="G18" s="145"/>
      <c r="H18" s="145"/>
      <c r="I18" s="145"/>
      <c r="J18" s="145"/>
      <c r="K18" s="145"/>
    </row>
    <row r="19" spans="1:11" ht="13.5">
      <c r="A19" s="144"/>
      <c r="B19" s="145"/>
      <c r="C19" s="145"/>
      <c r="D19" s="145"/>
      <c r="E19" s="145"/>
      <c r="F19" s="145"/>
      <c r="G19" s="145"/>
      <c r="H19" s="145"/>
      <c r="I19" s="145"/>
      <c r="J19" s="145"/>
      <c r="K19" s="145"/>
    </row>
    <row r="20" spans="1:11" ht="13.5">
      <c r="A20" s="144"/>
      <c r="B20" s="145"/>
      <c r="C20" s="145"/>
      <c r="D20" s="145"/>
      <c r="E20" s="145"/>
      <c r="F20" s="145"/>
      <c r="G20" s="145"/>
      <c r="H20" s="145"/>
      <c r="I20" s="145"/>
      <c r="J20" s="145"/>
      <c r="K20" s="145"/>
    </row>
    <row r="21" spans="1:11" ht="13.5">
      <c r="A21" s="145"/>
      <c r="B21" s="145"/>
      <c r="C21" s="145"/>
      <c r="D21" s="145"/>
      <c r="E21" s="145"/>
      <c r="F21" s="145"/>
      <c r="G21" s="145"/>
      <c r="H21" s="145"/>
      <c r="I21" s="145"/>
      <c r="J21" s="145"/>
      <c r="K21" s="145"/>
    </row>
    <row r="22" spans="1:11" ht="13.5">
      <c r="A22" s="145"/>
      <c r="B22" s="145"/>
      <c r="C22" s="145"/>
      <c r="D22" s="145"/>
      <c r="E22" s="145"/>
      <c r="F22" s="145"/>
      <c r="G22" s="145"/>
      <c r="H22" s="145"/>
      <c r="I22" s="145"/>
      <c r="J22" s="145"/>
      <c r="K22" s="145"/>
    </row>
    <row r="23" spans="1:11" ht="13.5">
      <c r="A23" s="145"/>
      <c r="B23" s="145"/>
      <c r="C23" s="145"/>
      <c r="D23" s="145"/>
      <c r="E23" s="145"/>
      <c r="F23" s="145"/>
      <c r="G23" s="145"/>
      <c r="H23" s="145"/>
      <c r="I23" s="145"/>
      <c r="J23" s="145"/>
      <c r="K23" s="145"/>
    </row>
    <row r="24" spans="1:11" ht="13.5">
      <c r="A24" s="145"/>
      <c r="B24" s="145"/>
      <c r="C24" s="145"/>
      <c r="D24" s="145"/>
      <c r="E24" s="145"/>
      <c r="F24" s="145"/>
      <c r="G24" s="145"/>
      <c r="H24" s="145"/>
      <c r="I24" s="145"/>
      <c r="J24" s="145"/>
      <c r="K24" s="145"/>
    </row>
    <row r="25" spans="1:11" ht="13.5">
      <c r="A25" s="145"/>
      <c r="B25" s="145"/>
      <c r="C25" s="145"/>
      <c r="D25" s="145"/>
      <c r="E25" s="145"/>
      <c r="F25" s="145"/>
      <c r="G25" s="145"/>
      <c r="H25" s="145"/>
      <c r="I25" s="145"/>
      <c r="J25" s="145"/>
      <c r="K25" s="145"/>
    </row>
    <row r="26" spans="1:11" ht="13.5">
      <c r="A26" s="145"/>
      <c r="B26" s="145"/>
      <c r="C26" s="145"/>
      <c r="D26" s="145"/>
      <c r="E26" s="145"/>
      <c r="F26" s="145"/>
      <c r="G26" s="145"/>
      <c r="H26" s="145"/>
      <c r="I26" s="145"/>
      <c r="J26" s="145"/>
      <c r="K26" s="145"/>
    </row>
    <row r="27" spans="1:11" ht="13.5">
      <c r="A27" s="145"/>
      <c r="B27" s="145"/>
      <c r="C27" s="145"/>
      <c r="D27" s="145"/>
      <c r="E27" s="145"/>
      <c r="F27" s="145"/>
      <c r="G27" s="145"/>
      <c r="H27" s="145"/>
      <c r="I27" s="145"/>
      <c r="J27" s="145"/>
      <c r="K27" s="145"/>
    </row>
    <row r="28" spans="1:11" ht="13.5">
      <c r="A28" s="145"/>
      <c r="B28" s="145"/>
      <c r="C28" s="145"/>
      <c r="D28" s="145"/>
      <c r="E28" s="145"/>
      <c r="F28" s="145"/>
      <c r="G28" s="145"/>
      <c r="H28" s="145"/>
      <c r="I28" s="145"/>
      <c r="J28" s="145"/>
      <c r="K28" s="145"/>
    </row>
    <row r="29" spans="1:11" ht="13.5">
      <c r="A29" s="261"/>
      <c r="B29" s="261"/>
      <c r="C29" s="261"/>
      <c r="D29" s="261"/>
      <c r="E29" s="261"/>
      <c r="F29" s="145"/>
      <c r="G29" s="145"/>
      <c r="H29" s="145"/>
      <c r="I29" s="145"/>
      <c r="J29" s="145"/>
      <c r="K29" s="145"/>
    </row>
    <row r="30" spans="1:11" ht="13.5">
      <c r="A30" s="472" t="s">
        <v>428</v>
      </c>
      <c r="B30" s="473"/>
      <c r="C30" s="473"/>
      <c r="D30" s="473"/>
      <c r="E30" s="473"/>
      <c r="F30" s="145"/>
      <c r="G30" s="145"/>
      <c r="H30" s="145"/>
      <c r="I30" s="145"/>
      <c r="J30" s="145"/>
      <c r="K30" s="145"/>
    </row>
    <row r="31" spans="1:11" ht="13.5">
      <c r="A31" s="169"/>
      <c r="B31" s="169"/>
      <c r="C31" s="169"/>
      <c r="D31" s="169"/>
      <c r="E31" s="169"/>
      <c r="F31" s="169"/>
      <c r="G31" s="169"/>
      <c r="H31" s="169"/>
      <c r="I31" s="169"/>
      <c r="J31" s="169"/>
      <c r="K31" s="169"/>
    </row>
    <row r="32" spans="1:11" ht="13.5">
      <c r="A32" s="169"/>
      <c r="B32" s="169"/>
      <c r="C32" s="169"/>
      <c r="D32" s="169"/>
      <c r="E32" s="169"/>
      <c r="F32" s="169"/>
      <c r="G32" s="169"/>
      <c r="H32" s="169"/>
      <c r="I32" s="169"/>
      <c r="J32" s="169"/>
      <c r="K32" s="169"/>
    </row>
    <row r="33" spans="1:11" ht="13.5">
      <c r="A33" s="169"/>
      <c r="B33" s="169"/>
      <c r="C33" s="169"/>
      <c r="D33" s="169"/>
      <c r="E33" s="169"/>
      <c r="F33" s="169"/>
      <c r="G33" s="169"/>
      <c r="H33" s="169"/>
      <c r="I33" s="169"/>
      <c r="J33" s="169"/>
      <c r="K33" s="169"/>
    </row>
    <row r="34" spans="1:11" ht="13.5">
      <c r="A34" s="169"/>
      <c r="B34" s="169"/>
      <c r="C34" s="169"/>
      <c r="D34" s="169"/>
      <c r="E34" s="169"/>
      <c r="F34" s="169"/>
      <c r="G34" s="169"/>
      <c r="H34" s="169"/>
      <c r="I34" s="169"/>
      <c r="J34" s="169"/>
      <c r="K34" s="169"/>
    </row>
    <row r="35" spans="1:11" ht="13.5">
      <c r="A35" s="169"/>
      <c r="B35" s="169"/>
      <c r="C35" s="169"/>
      <c r="D35" s="169"/>
      <c r="E35" s="169"/>
      <c r="F35" s="169"/>
      <c r="G35" s="169"/>
      <c r="H35" s="169"/>
      <c r="I35" s="169"/>
      <c r="J35" s="169"/>
      <c r="K35" s="169"/>
    </row>
    <row r="36" spans="1:11" ht="13.5">
      <c r="A36" s="169"/>
      <c r="B36" s="169"/>
      <c r="C36" s="169"/>
      <c r="D36" s="169"/>
      <c r="E36" s="169"/>
      <c r="F36" s="169"/>
      <c r="G36" s="169"/>
      <c r="H36" s="169"/>
      <c r="I36" s="169"/>
      <c r="J36" s="169"/>
      <c r="K36" s="169"/>
    </row>
    <row r="37" spans="1:11" ht="13.5">
      <c r="A37" s="169"/>
      <c r="B37" s="169"/>
      <c r="C37" s="169"/>
      <c r="D37" s="169"/>
      <c r="E37" s="169"/>
      <c r="F37" s="169"/>
      <c r="G37" s="169"/>
      <c r="H37" s="169"/>
      <c r="I37" s="169"/>
      <c r="J37" s="169"/>
      <c r="K37" s="169"/>
    </row>
    <row r="38" spans="1:11" ht="13.5">
      <c r="A38" s="169"/>
      <c r="B38" s="169"/>
      <c r="C38" s="169"/>
      <c r="D38" s="169"/>
      <c r="E38" s="169"/>
      <c r="F38" s="169"/>
      <c r="G38" s="169"/>
      <c r="H38" s="169"/>
      <c r="I38" s="169"/>
      <c r="J38" s="169"/>
      <c r="K38" s="169"/>
    </row>
    <row r="39" spans="1:11" ht="13.5">
      <c r="A39" s="169"/>
      <c r="B39" s="169"/>
      <c r="C39" s="169"/>
      <c r="D39" s="169"/>
      <c r="E39" s="169"/>
      <c r="F39" s="169"/>
      <c r="G39" s="169"/>
      <c r="H39" s="169"/>
      <c r="I39" s="169"/>
      <c r="J39" s="169"/>
      <c r="K39" s="169"/>
    </row>
    <row r="40" spans="1:11" ht="13.5">
      <c r="A40" s="169"/>
      <c r="B40" s="169"/>
      <c r="C40" s="169"/>
      <c r="D40" s="169"/>
      <c r="E40" s="169"/>
      <c r="F40" s="169"/>
      <c r="G40" s="169"/>
      <c r="H40" s="169"/>
      <c r="I40" s="169"/>
      <c r="J40" s="169"/>
      <c r="K40" s="169"/>
    </row>
    <row r="41" spans="1:11" ht="13.5">
      <c r="A41" s="169"/>
      <c r="B41" s="169"/>
      <c r="C41" s="169"/>
      <c r="D41" s="169"/>
      <c r="E41" s="169"/>
      <c r="F41" s="169"/>
      <c r="G41" s="169"/>
      <c r="H41" s="169"/>
      <c r="I41" s="169"/>
      <c r="J41" s="169"/>
      <c r="K41" s="169"/>
    </row>
  </sheetData>
  <sheetProtection password="CA27" sheet="1" objects="1" scenarios="1"/>
  <mergeCells count="8">
    <mergeCell ref="A1:E1"/>
    <mergeCell ref="A30:E30"/>
    <mergeCell ref="A14:E14"/>
    <mergeCell ref="C3:E3"/>
    <mergeCell ref="C4:E4"/>
    <mergeCell ref="A11:E11"/>
    <mergeCell ref="A13:E13"/>
    <mergeCell ref="A3:B3"/>
  </mergeCells>
  <printOptions/>
  <pageMargins left="0.75" right="0.75" top="1" bottom="1" header="0.5" footer="0.5"/>
  <pageSetup horizontalDpi="600" verticalDpi="600" orientation="landscape" r:id="rId3"/>
  <drawing r:id="rId2"/>
  <legacyDrawing r:id="rId1"/>
</worksheet>
</file>

<file path=xl/worksheets/sheet8.xml><?xml version="1.0" encoding="utf-8"?>
<worksheet xmlns="http://schemas.openxmlformats.org/spreadsheetml/2006/main" xmlns:r="http://schemas.openxmlformats.org/officeDocument/2006/relationships">
  <sheetPr codeName="Sheet11">
    <pageSetUpPr fitToPage="1"/>
  </sheetPr>
  <dimension ref="A1:L113"/>
  <sheetViews>
    <sheetView workbookViewId="0" topLeftCell="A1">
      <selection activeCell="C2" sqref="C2"/>
    </sheetView>
  </sheetViews>
  <sheetFormatPr defaultColWidth="9.00390625" defaultRowHeight="15" customHeight="1"/>
  <cols>
    <col min="1" max="1" width="3.75390625" style="136" customWidth="1"/>
    <col min="2" max="2" width="37.875" style="136" customWidth="1"/>
    <col min="3" max="3" width="6.625" style="136" customWidth="1"/>
    <col min="4" max="5" width="20.00390625" style="136" customWidth="1"/>
    <col min="6" max="16384" width="9.00390625" style="136" customWidth="1"/>
  </cols>
  <sheetData>
    <row r="1" spans="1:12" ht="15" customHeight="1">
      <c r="A1" s="159"/>
      <c r="B1" s="258" t="s">
        <v>258</v>
      </c>
      <c r="C1" s="159"/>
      <c r="D1" s="159"/>
      <c r="E1" s="159"/>
      <c r="F1" s="159"/>
      <c r="G1" s="159"/>
      <c r="H1" s="159"/>
      <c r="I1" s="159"/>
      <c r="J1" s="159"/>
      <c r="K1" s="159"/>
      <c r="L1" s="159"/>
    </row>
    <row r="2" spans="1:12" ht="15" customHeight="1">
      <c r="A2" s="159" t="s">
        <v>256</v>
      </c>
      <c r="B2" s="218" t="s">
        <v>2</v>
      </c>
      <c r="C2" s="227">
        <v>50</v>
      </c>
      <c r="D2" s="222" t="s">
        <v>229</v>
      </c>
      <c r="E2" s="159"/>
      <c r="F2" s="159"/>
      <c r="G2" s="159"/>
      <c r="H2" s="159"/>
      <c r="I2" s="159"/>
      <c r="J2" s="159"/>
      <c r="K2" s="159"/>
      <c r="L2" s="159"/>
    </row>
    <row r="3" spans="1:12" ht="15" customHeight="1">
      <c r="A3" s="159" t="s">
        <v>256</v>
      </c>
      <c r="B3" s="219" t="s">
        <v>71</v>
      </c>
      <c r="C3" s="227">
        <v>0</v>
      </c>
      <c r="D3" s="222" t="s">
        <v>92</v>
      </c>
      <c r="E3" s="159"/>
      <c r="F3" s="159"/>
      <c r="G3" s="159"/>
      <c r="H3" s="159"/>
      <c r="I3" s="159"/>
      <c r="J3" s="159"/>
      <c r="K3" s="159"/>
      <c r="L3" s="159"/>
    </row>
    <row r="4" spans="1:12" ht="15" customHeight="1">
      <c r="A4" s="159"/>
      <c r="B4" s="229" t="s">
        <v>255</v>
      </c>
      <c r="C4" s="230"/>
      <c r="D4" s="230"/>
      <c r="E4" s="159"/>
      <c r="F4" s="159"/>
      <c r="G4" s="159"/>
      <c r="H4" s="159"/>
      <c r="I4" s="159"/>
      <c r="J4" s="159"/>
      <c r="K4" s="159"/>
      <c r="L4" s="159"/>
    </row>
    <row r="5" spans="1:12" ht="15" customHeight="1">
      <c r="A5" s="159" t="s">
        <v>380</v>
      </c>
      <c r="B5" s="220" t="s">
        <v>245</v>
      </c>
      <c r="C5" s="227">
        <v>0</v>
      </c>
      <c r="D5" s="222" t="s">
        <v>234</v>
      </c>
      <c r="E5" s="159"/>
      <c r="F5" s="159"/>
      <c r="G5" s="159"/>
      <c r="H5" s="159"/>
      <c r="I5" s="159"/>
      <c r="J5" s="159"/>
      <c r="K5" s="159"/>
      <c r="L5" s="159"/>
    </row>
    <row r="6" spans="1:12" ht="15" customHeight="1">
      <c r="A6" s="159" t="s">
        <v>380</v>
      </c>
      <c r="B6" s="220" t="s">
        <v>60</v>
      </c>
      <c r="C6" s="227">
        <v>0</v>
      </c>
      <c r="D6" s="222" t="s">
        <v>234</v>
      </c>
      <c r="E6" s="159"/>
      <c r="F6" s="159"/>
      <c r="G6" s="159"/>
      <c r="H6" s="159"/>
      <c r="I6" s="159"/>
      <c r="J6" s="159"/>
      <c r="K6" s="159"/>
      <c r="L6" s="159"/>
    </row>
    <row r="7" spans="1:12" ht="15" customHeight="1">
      <c r="A7" s="159" t="s">
        <v>380</v>
      </c>
      <c r="B7" s="220" t="s">
        <v>58</v>
      </c>
      <c r="C7" s="227">
        <v>0</v>
      </c>
      <c r="D7" s="222" t="s">
        <v>234</v>
      </c>
      <c r="E7" s="159"/>
      <c r="F7" s="159"/>
      <c r="G7" s="159"/>
      <c r="H7" s="159"/>
      <c r="I7" s="159"/>
      <c r="J7" s="159"/>
      <c r="K7" s="159"/>
      <c r="L7" s="159"/>
    </row>
    <row r="8" spans="1:12" ht="15" customHeight="1">
      <c r="A8" s="159" t="s">
        <v>380</v>
      </c>
      <c r="B8" s="219" t="s">
        <v>72</v>
      </c>
      <c r="C8" s="227">
        <v>0</v>
      </c>
      <c r="D8" s="222" t="s">
        <v>234</v>
      </c>
      <c r="E8" s="159"/>
      <c r="F8" s="159"/>
      <c r="G8" s="159"/>
      <c r="H8" s="159"/>
      <c r="I8" s="159"/>
      <c r="J8" s="159"/>
      <c r="K8" s="159"/>
      <c r="L8" s="159"/>
    </row>
    <row r="9" spans="1:12" ht="15" customHeight="1">
      <c r="A9" s="159" t="s">
        <v>380</v>
      </c>
      <c r="B9" s="219" t="s">
        <v>244</v>
      </c>
      <c r="C9" s="227">
        <v>0</v>
      </c>
      <c r="D9" s="222" t="s">
        <v>234</v>
      </c>
      <c r="E9" s="159"/>
      <c r="F9" s="155"/>
      <c r="G9" s="155"/>
      <c r="H9" s="155"/>
      <c r="I9" s="159"/>
      <c r="J9" s="159"/>
      <c r="K9" s="159"/>
      <c r="L9" s="159"/>
    </row>
    <row r="10" spans="1:12" ht="15" customHeight="1">
      <c r="A10" s="159" t="s">
        <v>380</v>
      </c>
      <c r="B10" s="219" t="s">
        <v>246</v>
      </c>
      <c r="C10" s="227">
        <v>0</v>
      </c>
      <c r="D10" s="222" t="s">
        <v>234</v>
      </c>
      <c r="E10" s="159"/>
      <c r="F10" s="155"/>
      <c r="G10" s="155"/>
      <c r="H10" s="155"/>
      <c r="I10" s="159"/>
      <c r="J10" s="159"/>
      <c r="K10" s="159"/>
      <c r="L10" s="159"/>
    </row>
    <row r="11" spans="1:12" ht="15" customHeight="1">
      <c r="A11" s="159"/>
      <c r="B11" s="229" t="s">
        <v>259</v>
      </c>
      <c r="C11" s="230"/>
      <c r="D11" s="230"/>
      <c r="E11" s="159"/>
      <c r="F11" s="155"/>
      <c r="G11" s="155"/>
      <c r="H11" s="155"/>
      <c r="I11" s="159"/>
      <c r="J11" s="159"/>
      <c r="K11" s="159"/>
      <c r="L11" s="159"/>
    </row>
    <row r="12" spans="1:12" ht="15" customHeight="1">
      <c r="A12" s="159" t="s">
        <v>380</v>
      </c>
      <c r="B12" s="219" t="s">
        <v>247</v>
      </c>
      <c r="C12" s="227">
        <v>0</v>
      </c>
      <c r="D12" s="222" t="s">
        <v>234</v>
      </c>
      <c r="E12" s="159"/>
      <c r="F12" s="155"/>
      <c r="G12" s="155"/>
      <c r="H12" s="155"/>
      <c r="I12" s="159"/>
      <c r="J12" s="159"/>
      <c r="K12" s="159"/>
      <c r="L12" s="159"/>
    </row>
    <row r="13" spans="1:12" ht="15" customHeight="1">
      <c r="A13" s="159" t="s">
        <v>380</v>
      </c>
      <c r="B13" s="219" t="s">
        <v>248</v>
      </c>
      <c r="C13" s="227">
        <v>0</v>
      </c>
      <c r="D13" s="222" t="s">
        <v>234</v>
      </c>
      <c r="E13" s="159"/>
      <c r="F13" s="155"/>
      <c r="G13" s="155"/>
      <c r="H13" s="155"/>
      <c r="I13" s="159"/>
      <c r="J13" s="159"/>
      <c r="K13" s="159"/>
      <c r="L13" s="159"/>
    </row>
    <row r="14" spans="1:12" ht="15" customHeight="1">
      <c r="A14" s="159" t="s">
        <v>257</v>
      </c>
      <c r="B14" s="219" t="s">
        <v>299</v>
      </c>
      <c r="C14" s="227">
        <v>0</v>
      </c>
      <c r="D14" s="222" t="s">
        <v>260</v>
      </c>
      <c r="E14" s="159"/>
      <c r="F14" s="155"/>
      <c r="G14" s="155"/>
      <c r="H14" s="155"/>
      <c r="I14" s="159"/>
      <c r="J14" s="159"/>
      <c r="K14" s="159"/>
      <c r="L14" s="159"/>
    </row>
    <row r="15" spans="1:12" ht="15" customHeight="1">
      <c r="A15" s="159" t="s">
        <v>257</v>
      </c>
      <c r="B15" s="220" t="s">
        <v>213</v>
      </c>
      <c r="C15" s="227">
        <v>0</v>
      </c>
      <c r="D15" s="222" t="s">
        <v>234</v>
      </c>
      <c r="E15" s="159"/>
      <c r="F15" s="155"/>
      <c r="G15" s="155"/>
      <c r="H15" s="155"/>
      <c r="I15" s="159"/>
      <c r="J15" s="159"/>
      <c r="K15" s="159"/>
      <c r="L15" s="159"/>
    </row>
    <row r="16" spans="1:12" ht="15" customHeight="1">
      <c r="A16" s="159" t="s">
        <v>257</v>
      </c>
      <c r="B16" s="219" t="s">
        <v>214</v>
      </c>
      <c r="C16" s="227">
        <v>0</v>
      </c>
      <c r="D16" s="222" t="s">
        <v>234</v>
      </c>
      <c r="E16" s="159"/>
      <c r="F16" s="155"/>
      <c r="G16" s="155"/>
      <c r="H16" s="155"/>
      <c r="I16" s="159"/>
      <c r="J16" s="159"/>
      <c r="K16" s="159"/>
      <c r="L16" s="159"/>
    </row>
    <row r="17" spans="1:12" ht="15" customHeight="1">
      <c r="A17" s="159" t="s">
        <v>257</v>
      </c>
      <c r="B17" s="219" t="s">
        <v>222</v>
      </c>
      <c r="C17" s="227">
        <v>0</v>
      </c>
      <c r="D17" s="222" t="s">
        <v>234</v>
      </c>
      <c r="E17" s="159"/>
      <c r="F17" s="155"/>
      <c r="G17" s="155"/>
      <c r="H17" s="155"/>
      <c r="I17" s="159"/>
      <c r="J17" s="159"/>
      <c r="K17" s="159"/>
      <c r="L17" s="159"/>
    </row>
    <row r="18" spans="1:12" ht="15" customHeight="1">
      <c r="A18" s="159" t="s">
        <v>257</v>
      </c>
      <c r="B18" s="219" t="s">
        <v>220</v>
      </c>
      <c r="C18" s="227">
        <v>0</v>
      </c>
      <c r="D18" s="222" t="s">
        <v>234</v>
      </c>
      <c r="E18" s="159"/>
      <c r="F18" s="155"/>
      <c r="G18" s="155"/>
      <c r="H18" s="155"/>
      <c r="I18" s="159"/>
      <c r="J18" s="159"/>
      <c r="K18" s="159"/>
      <c r="L18" s="159"/>
    </row>
    <row r="19" spans="1:12" ht="15" customHeight="1">
      <c r="A19" s="159" t="s">
        <v>257</v>
      </c>
      <c r="B19" s="219" t="s">
        <v>221</v>
      </c>
      <c r="C19" s="227">
        <v>0</v>
      </c>
      <c r="D19" s="222" t="s">
        <v>234</v>
      </c>
      <c r="E19" s="159"/>
      <c r="F19" s="225"/>
      <c r="G19" s="232"/>
      <c r="H19" s="226"/>
      <c r="I19" s="159"/>
      <c r="J19" s="159"/>
      <c r="K19" s="159"/>
      <c r="L19" s="159"/>
    </row>
    <row r="20" spans="1:12" ht="15" customHeight="1">
      <c r="A20" s="159" t="s">
        <v>380</v>
      </c>
      <c r="B20" s="219" t="s">
        <v>249</v>
      </c>
      <c r="C20" s="227">
        <v>0</v>
      </c>
      <c r="D20" s="222" t="s">
        <v>234</v>
      </c>
      <c r="E20" s="159"/>
      <c r="F20" s="225"/>
      <c r="G20" s="232"/>
      <c r="H20" s="226"/>
      <c r="I20" s="159"/>
      <c r="J20" s="159"/>
      <c r="K20" s="159"/>
      <c r="L20" s="159"/>
    </row>
    <row r="21" spans="1:12" ht="15" customHeight="1">
      <c r="A21" s="159" t="s">
        <v>380</v>
      </c>
      <c r="B21" s="219" t="s">
        <v>250</v>
      </c>
      <c r="C21" s="227">
        <v>0</v>
      </c>
      <c r="D21" s="222" t="s">
        <v>234</v>
      </c>
      <c r="E21" s="159"/>
      <c r="F21" s="225"/>
      <c r="G21" s="232"/>
      <c r="H21" s="226"/>
      <c r="I21" s="159"/>
      <c r="J21" s="159"/>
      <c r="K21" s="159"/>
      <c r="L21" s="159"/>
    </row>
    <row r="22" spans="1:12" ht="15" customHeight="1">
      <c r="A22" s="159" t="s">
        <v>257</v>
      </c>
      <c r="B22" s="219" t="s">
        <v>218</v>
      </c>
      <c r="C22" s="227">
        <v>0</v>
      </c>
      <c r="D22" s="222" t="s">
        <v>234</v>
      </c>
      <c r="E22" s="159"/>
      <c r="F22" s="155"/>
      <c r="G22" s="155"/>
      <c r="H22" s="155"/>
      <c r="I22" s="159"/>
      <c r="J22" s="159"/>
      <c r="K22" s="159"/>
      <c r="L22" s="159"/>
    </row>
    <row r="23" spans="1:12" ht="15" customHeight="1">
      <c r="A23" s="159" t="s">
        <v>257</v>
      </c>
      <c r="B23" s="219" t="s">
        <v>217</v>
      </c>
      <c r="C23" s="227">
        <v>0</v>
      </c>
      <c r="D23" s="222" t="s">
        <v>234</v>
      </c>
      <c r="E23" s="159"/>
      <c r="F23" s="155"/>
      <c r="G23" s="155"/>
      <c r="H23" s="155"/>
      <c r="I23" s="159"/>
      <c r="J23" s="159"/>
      <c r="K23" s="159"/>
      <c r="L23" s="159"/>
    </row>
    <row r="24" spans="1:12" ht="15" customHeight="1">
      <c r="A24" s="159" t="s">
        <v>257</v>
      </c>
      <c r="B24" s="219" t="s">
        <v>216</v>
      </c>
      <c r="C24" s="227">
        <v>0</v>
      </c>
      <c r="D24" s="222" t="s">
        <v>234</v>
      </c>
      <c r="E24" s="159"/>
      <c r="F24" s="155"/>
      <c r="G24" s="155"/>
      <c r="H24" s="155"/>
      <c r="I24" s="159"/>
      <c r="J24" s="159"/>
      <c r="K24" s="159"/>
      <c r="L24" s="159"/>
    </row>
    <row r="25" spans="1:12" ht="15" customHeight="1">
      <c r="A25" s="159" t="s">
        <v>256</v>
      </c>
      <c r="B25" s="219" t="s">
        <v>223</v>
      </c>
      <c r="C25" s="227">
        <v>0</v>
      </c>
      <c r="D25" s="222" t="s">
        <v>234</v>
      </c>
      <c r="E25" s="159"/>
      <c r="F25" s="155"/>
      <c r="G25" s="155"/>
      <c r="H25" s="155"/>
      <c r="I25" s="159"/>
      <c r="J25" s="159"/>
      <c r="K25" s="159"/>
      <c r="L25" s="159"/>
    </row>
    <row r="26" spans="1:12" ht="15" customHeight="1">
      <c r="A26" s="159" t="s">
        <v>256</v>
      </c>
      <c r="B26" s="219" t="s">
        <v>219</v>
      </c>
      <c r="C26" s="227">
        <v>0</v>
      </c>
      <c r="D26" s="222" t="s">
        <v>234</v>
      </c>
      <c r="E26" s="159"/>
      <c r="F26" s="233"/>
      <c r="G26" s="156"/>
      <c r="H26" s="226"/>
      <c r="I26" s="159"/>
      <c r="J26" s="159"/>
      <c r="K26" s="159"/>
      <c r="L26" s="159"/>
    </row>
    <row r="27" spans="1:12" ht="15" customHeight="1">
      <c r="A27" s="159"/>
      <c r="B27" s="229" t="s">
        <v>254</v>
      </c>
      <c r="C27" s="230"/>
      <c r="D27" s="230"/>
      <c r="E27" s="159"/>
      <c r="F27" s="225"/>
      <c r="G27" s="232"/>
      <c r="H27" s="226"/>
      <c r="I27" s="159"/>
      <c r="J27" s="159"/>
      <c r="K27" s="159"/>
      <c r="L27" s="159"/>
    </row>
    <row r="28" spans="1:12" ht="15" customHeight="1">
      <c r="A28" s="159" t="s">
        <v>257</v>
      </c>
      <c r="B28" s="220" t="s">
        <v>228</v>
      </c>
      <c r="C28" s="227">
        <v>0</v>
      </c>
      <c r="D28" s="222" t="s">
        <v>234</v>
      </c>
      <c r="E28" s="159"/>
      <c r="F28" s="225"/>
      <c r="G28" s="232"/>
      <c r="H28" s="226"/>
      <c r="I28" s="159"/>
      <c r="J28" s="159"/>
      <c r="K28" s="159"/>
      <c r="L28" s="159"/>
    </row>
    <row r="29" spans="1:12" ht="15" customHeight="1">
      <c r="A29" s="159" t="s">
        <v>256</v>
      </c>
      <c r="B29" s="221" t="s">
        <v>225</v>
      </c>
      <c r="C29" s="227">
        <v>0</v>
      </c>
      <c r="D29" s="222" t="s">
        <v>234</v>
      </c>
      <c r="E29" s="159"/>
      <c r="F29" s="225"/>
      <c r="G29" s="232"/>
      <c r="H29" s="226"/>
      <c r="I29" s="159"/>
      <c r="J29" s="159"/>
      <c r="K29" s="159"/>
      <c r="L29" s="159"/>
    </row>
    <row r="30" spans="1:12" ht="15" customHeight="1">
      <c r="A30" s="159" t="s">
        <v>257</v>
      </c>
      <c r="B30" s="219" t="s">
        <v>215</v>
      </c>
      <c r="C30" s="227">
        <v>0</v>
      </c>
      <c r="D30" s="222" t="s">
        <v>234</v>
      </c>
      <c r="E30" s="159"/>
      <c r="F30" s="155"/>
      <c r="G30" s="155"/>
      <c r="H30" s="155"/>
      <c r="I30" s="159"/>
      <c r="J30" s="159"/>
      <c r="K30" s="159"/>
      <c r="L30" s="159"/>
    </row>
    <row r="31" spans="1:12" ht="15" customHeight="1">
      <c r="A31" s="159" t="s">
        <v>257</v>
      </c>
      <c r="B31" s="219" t="s">
        <v>224</v>
      </c>
      <c r="C31" s="227">
        <v>0</v>
      </c>
      <c r="D31" s="222" t="s">
        <v>234</v>
      </c>
      <c r="E31" s="159"/>
      <c r="F31" s="155"/>
      <c r="G31" s="155"/>
      <c r="H31" s="155"/>
      <c r="I31" s="159"/>
      <c r="J31" s="159"/>
      <c r="K31" s="159"/>
      <c r="L31" s="159"/>
    </row>
    <row r="32" spans="1:12" ht="15" customHeight="1">
      <c r="A32" s="159"/>
      <c r="B32" s="224" t="s">
        <v>416</v>
      </c>
      <c r="C32" s="257">
        <f>D104</f>
        <v>0.008247250170303668</v>
      </c>
      <c r="D32" s="255"/>
      <c r="E32" s="159"/>
      <c r="F32" s="159"/>
      <c r="G32" s="159"/>
      <c r="H32" s="159"/>
      <c r="I32" s="159"/>
      <c r="J32" s="159"/>
      <c r="K32" s="159"/>
      <c r="L32" s="159"/>
    </row>
    <row r="33" spans="1:12" ht="15" customHeight="1">
      <c r="A33" s="159"/>
      <c r="B33" s="224" t="s">
        <v>251</v>
      </c>
      <c r="C33" s="257">
        <f>F104</f>
        <v>0.009480429528157763</v>
      </c>
      <c r="D33" s="256"/>
      <c r="E33" s="159"/>
      <c r="F33" s="159"/>
      <c r="G33" s="159"/>
      <c r="H33" s="159"/>
      <c r="I33" s="159"/>
      <c r="J33" s="159"/>
      <c r="K33" s="159"/>
      <c r="L33" s="159"/>
    </row>
    <row r="34" spans="1:12" ht="12" customHeight="1">
      <c r="A34" s="159"/>
      <c r="B34" s="225"/>
      <c r="C34" s="234"/>
      <c r="D34" s="226"/>
      <c r="E34" s="159"/>
      <c r="F34" s="159"/>
      <c r="G34" s="159"/>
      <c r="H34" s="159"/>
      <c r="I34" s="159"/>
      <c r="J34" s="159"/>
      <c r="K34" s="159"/>
      <c r="L34" s="159"/>
    </row>
    <row r="35" spans="1:12" ht="12" customHeight="1">
      <c r="A35" s="159"/>
      <c r="B35" s="228" t="s">
        <v>336</v>
      </c>
      <c r="C35" s="159"/>
      <c r="D35" s="159"/>
      <c r="E35" s="159"/>
      <c r="F35" s="159"/>
      <c r="G35" s="159"/>
      <c r="H35" s="159"/>
      <c r="I35" s="159"/>
      <c r="J35" s="159"/>
      <c r="K35" s="159"/>
      <c r="L35" s="159"/>
    </row>
    <row r="36" spans="1:12" ht="12" customHeight="1">
      <c r="A36" s="159"/>
      <c r="B36" s="228" t="s">
        <v>337</v>
      </c>
      <c r="C36" s="159"/>
      <c r="D36" s="159"/>
      <c r="E36" s="159"/>
      <c r="F36" s="159"/>
      <c r="G36" s="159"/>
      <c r="H36" s="159"/>
      <c r="I36" s="159"/>
      <c r="J36" s="159"/>
      <c r="K36" s="159"/>
      <c r="L36" s="159"/>
    </row>
    <row r="37" spans="1:12" ht="12" customHeight="1">
      <c r="A37" s="159"/>
      <c r="B37" s="283" t="s">
        <v>431</v>
      </c>
      <c r="C37" s="159"/>
      <c r="D37" s="159"/>
      <c r="E37" s="159"/>
      <c r="F37" s="159"/>
      <c r="G37" s="159"/>
      <c r="H37" s="159"/>
      <c r="I37" s="159"/>
      <c r="J37" s="159"/>
      <c r="K37" s="159"/>
      <c r="L37" s="159"/>
    </row>
    <row r="38" spans="1:12" ht="12" customHeight="1">
      <c r="A38" s="159"/>
      <c r="B38" s="228"/>
      <c r="C38" s="159"/>
      <c r="D38" s="159"/>
      <c r="E38" s="159"/>
      <c r="F38" s="159"/>
      <c r="G38" s="159"/>
      <c r="H38" s="159"/>
      <c r="I38" s="159"/>
      <c r="J38" s="159"/>
      <c r="K38" s="159"/>
      <c r="L38" s="159"/>
    </row>
    <row r="39" spans="1:12" ht="12" customHeight="1">
      <c r="A39" s="248"/>
      <c r="B39" s="248"/>
      <c r="C39" s="248"/>
      <c r="D39" s="248"/>
      <c r="E39" s="248"/>
      <c r="F39" s="248"/>
      <c r="G39" s="248"/>
      <c r="H39" s="248"/>
      <c r="I39" s="248"/>
      <c r="J39" s="248"/>
      <c r="K39" s="248"/>
      <c r="L39" s="248"/>
    </row>
    <row r="40" spans="1:12" ht="12" customHeight="1">
      <c r="A40" s="159"/>
      <c r="B40" s="121" t="s">
        <v>429</v>
      </c>
      <c r="C40" s="159"/>
      <c r="D40" s="159"/>
      <c r="E40" s="159"/>
      <c r="F40" s="159"/>
      <c r="G40" s="159"/>
      <c r="H40" s="159"/>
      <c r="I40" s="159"/>
      <c r="J40" s="159"/>
      <c r="K40" s="159"/>
      <c r="L40" s="122" t="s">
        <v>99</v>
      </c>
    </row>
    <row r="41" spans="1:12" ht="12" customHeight="1">
      <c r="A41" s="159"/>
      <c r="B41" s="121"/>
      <c r="C41" s="159"/>
      <c r="D41" s="159"/>
      <c r="E41" s="159"/>
      <c r="F41" s="159"/>
      <c r="G41" s="159"/>
      <c r="H41" s="159"/>
      <c r="I41" s="159"/>
      <c r="J41" s="159"/>
      <c r="K41" s="159"/>
      <c r="L41" s="122"/>
    </row>
    <row r="42" spans="1:12" ht="12" customHeight="1">
      <c r="A42" s="159"/>
      <c r="B42" s="121"/>
      <c r="C42" s="159"/>
      <c r="D42" s="159"/>
      <c r="E42" s="159"/>
      <c r="F42" s="159"/>
      <c r="G42" s="159"/>
      <c r="H42" s="159"/>
      <c r="I42" s="159"/>
      <c r="J42" s="159"/>
      <c r="K42" s="159"/>
      <c r="L42" s="122"/>
    </row>
    <row r="43" spans="1:12" ht="15" customHeight="1">
      <c r="A43" s="159"/>
      <c r="B43" s="215" t="s">
        <v>263</v>
      </c>
      <c r="C43" s="159"/>
      <c r="D43" s="159"/>
      <c r="E43" s="159"/>
      <c r="F43" s="159"/>
      <c r="G43" s="159"/>
      <c r="H43" s="159"/>
      <c r="I43" s="159"/>
      <c r="J43" s="159"/>
      <c r="K43" s="159"/>
      <c r="L43" s="159"/>
    </row>
    <row r="44" spans="1:12" ht="12" customHeight="1">
      <c r="A44" s="159"/>
      <c r="B44" s="271" t="s">
        <v>314</v>
      </c>
      <c r="C44" s="228"/>
      <c r="D44" s="159"/>
      <c r="E44" s="159"/>
      <c r="F44" s="159"/>
      <c r="G44" s="159"/>
      <c r="H44" s="159"/>
      <c r="I44" s="159"/>
      <c r="J44" s="159"/>
      <c r="K44" s="159"/>
      <c r="L44" s="159"/>
    </row>
    <row r="45" spans="1:12" ht="12" customHeight="1">
      <c r="A45" s="159"/>
      <c r="B45" s="271" t="s">
        <v>315</v>
      </c>
      <c r="C45" s="228"/>
      <c r="D45" s="159"/>
      <c r="E45" s="159"/>
      <c r="F45" s="159"/>
      <c r="G45" s="159"/>
      <c r="H45" s="159"/>
      <c r="I45" s="159"/>
      <c r="J45" s="159"/>
      <c r="K45" s="159"/>
      <c r="L45" s="159"/>
    </row>
    <row r="46" spans="1:12" ht="12" customHeight="1">
      <c r="A46" s="159"/>
      <c r="B46" s="269" t="s">
        <v>312</v>
      </c>
      <c r="C46" s="159"/>
      <c r="D46" s="159"/>
      <c r="E46" s="159"/>
      <c r="F46" s="159"/>
      <c r="G46" s="159"/>
      <c r="H46" s="159"/>
      <c r="I46" s="159"/>
      <c r="J46" s="159"/>
      <c r="K46" s="159"/>
      <c r="L46" s="159"/>
    </row>
    <row r="47" spans="1:12" ht="12" customHeight="1">
      <c r="A47" s="159"/>
      <c r="B47" s="272" t="s">
        <v>316</v>
      </c>
      <c r="C47" s="228"/>
      <c r="D47" s="159"/>
      <c r="E47" s="159"/>
      <c r="F47" s="159"/>
      <c r="G47" s="159"/>
      <c r="H47" s="159"/>
      <c r="I47" s="159"/>
      <c r="J47" s="159"/>
      <c r="K47" s="159"/>
      <c r="L47" s="159"/>
    </row>
    <row r="48" spans="1:12" ht="12" customHeight="1">
      <c r="A48" s="159"/>
      <c r="B48" s="271" t="s">
        <v>317</v>
      </c>
      <c r="C48" s="228"/>
      <c r="D48" s="159"/>
      <c r="E48" s="159"/>
      <c r="F48" s="159"/>
      <c r="G48" s="159"/>
      <c r="H48" s="159"/>
      <c r="I48" s="159"/>
      <c r="J48" s="159"/>
      <c r="K48" s="159"/>
      <c r="L48" s="159"/>
    </row>
    <row r="49" spans="1:12" ht="12" customHeight="1">
      <c r="A49" s="159"/>
      <c r="B49" s="271" t="s">
        <v>318</v>
      </c>
      <c r="C49" s="228"/>
      <c r="D49" s="159"/>
      <c r="E49" s="159"/>
      <c r="F49" s="159"/>
      <c r="G49" s="159"/>
      <c r="H49" s="159"/>
      <c r="I49" s="159"/>
      <c r="J49" s="159"/>
      <c r="K49" s="159"/>
      <c r="L49" s="159"/>
    </row>
    <row r="50" spans="1:12" ht="12" customHeight="1">
      <c r="A50" s="159"/>
      <c r="B50" s="270" t="s">
        <v>313</v>
      </c>
      <c r="C50" s="249"/>
      <c r="D50" s="159"/>
      <c r="E50" s="159"/>
      <c r="F50" s="159"/>
      <c r="G50" s="159"/>
      <c r="H50" s="159"/>
      <c r="I50" s="159"/>
      <c r="J50" s="159"/>
      <c r="K50" s="159"/>
      <c r="L50" s="159"/>
    </row>
    <row r="51" spans="1:12" ht="12" customHeight="1">
      <c r="A51" s="159"/>
      <c r="B51" s="273" t="s">
        <v>319</v>
      </c>
      <c r="C51" s="159"/>
      <c r="D51" s="159"/>
      <c r="E51" s="159"/>
      <c r="F51" s="159"/>
      <c r="G51" s="159"/>
      <c r="H51" s="159"/>
      <c r="I51" s="159"/>
      <c r="J51" s="159"/>
      <c r="K51" s="159"/>
      <c r="L51" s="159"/>
    </row>
    <row r="52" spans="1:12" ht="12" customHeight="1">
      <c r="A52" s="159"/>
      <c r="B52" s="271" t="s">
        <v>320</v>
      </c>
      <c r="C52" s="159"/>
      <c r="D52" s="159"/>
      <c r="E52" s="159"/>
      <c r="F52" s="159"/>
      <c r="G52" s="159"/>
      <c r="H52" s="159"/>
      <c r="I52" s="159"/>
      <c r="J52" s="159"/>
      <c r="K52" s="159"/>
      <c r="L52" s="159"/>
    </row>
    <row r="53" spans="1:12" ht="12" customHeight="1">
      <c r="A53" s="159"/>
      <c r="B53" s="271" t="s">
        <v>321</v>
      </c>
      <c r="C53" s="228"/>
      <c r="D53" s="159"/>
      <c r="E53" s="159"/>
      <c r="F53" s="159"/>
      <c r="G53" s="159"/>
      <c r="H53" s="159"/>
      <c r="I53" s="159"/>
      <c r="J53" s="159"/>
      <c r="K53" s="159"/>
      <c r="L53" s="159"/>
    </row>
    <row r="54" spans="1:12" ht="12" customHeight="1">
      <c r="A54" s="159"/>
      <c r="B54" s="271" t="s">
        <v>322</v>
      </c>
      <c r="C54" s="228"/>
      <c r="D54" s="159"/>
      <c r="E54" s="159"/>
      <c r="F54" s="159"/>
      <c r="G54" s="159"/>
      <c r="H54" s="159"/>
      <c r="I54" s="159"/>
      <c r="J54" s="159"/>
      <c r="K54" s="159"/>
      <c r="L54" s="159"/>
    </row>
    <row r="55" spans="1:12" ht="12" customHeight="1">
      <c r="A55" s="159"/>
      <c r="B55" s="271" t="s">
        <v>323</v>
      </c>
      <c r="C55" s="228"/>
      <c r="D55" s="159"/>
      <c r="E55" s="159"/>
      <c r="F55" s="159"/>
      <c r="G55" s="159"/>
      <c r="H55" s="159"/>
      <c r="I55" s="159"/>
      <c r="J55" s="159"/>
      <c r="K55" s="159"/>
      <c r="L55" s="159"/>
    </row>
    <row r="56" spans="1:12" ht="12" customHeight="1">
      <c r="A56" s="159"/>
      <c r="B56" s="228"/>
      <c r="C56" s="159"/>
      <c r="D56" s="159"/>
      <c r="E56" s="159"/>
      <c r="F56" s="159"/>
      <c r="G56" s="159"/>
      <c r="H56" s="159"/>
      <c r="I56" s="159"/>
      <c r="J56" s="159"/>
      <c r="K56" s="159"/>
      <c r="L56" s="159"/>
    </row>
    <row r="57" spans="1:12" ht="12" customHeight="1">
      <c r="A57" s="159"/>
      <c r="B57" s="228" t="s">
        <v>226</v>
      </c>
      <c r="C57" s="159"/>
      <c r="D57" s="159"/>
      <c r="E57" s="159"/>
      <c r="F57" s="159"/>
      <c r="G57" s="159"/>
      <c r="H57" s="159"/>
      <c r="I57" s="159"/>
      <c r="J57" s="159"/>
      <c r="K57" s="159"/>
      <c r="L57" s="159"/>
    </row>
    <row r="58" spans="1:12" ht="12" customHeight="1">
      <c r="A58" s="159"/>
      <c r="B58" s="228" t="s">
        <v>227</v>
      </c>
      <c r="C58" s="159"/>
      <c r="D58" s="159"/>
      <c r="E58" s="159"/>
      <c r="F58" s="159"/>
      <c r="G58" s="159"/>
      <c r="H58" s="159"/>
      <c r="I58" s="159"/>
      <c r="J58" s="159"/>
      <c r="K58" s="159"/>
      <c r="L58" s="159"/>
    </row>
    <row r="59" spans="1:12" ht="12" customHeight="1">
      <c r="A59" s="155"/>
      <c r="B59" s="155"/>
      <c r="C59" s="155"/>
      <c r="D59" s="155"/>
      <c r="E59" s="155"/>
      <c r="F59" s="155"/>
      <c r="G59" s="155"/>
      <c r="H59" s="155"/>
      <c r="I59" s="155"/>
      <c r="J59" s="155"/>
      <c r="K59" s="155"/>
      <c r="L59" s="155"/>
    </row>
    <row r="60" spans="1:12" s="262" customFormat="1" ht="12" customHeight="1">
      <c r="A60" s="397"/>
      <c r="B60" s="397"/>
      <c r="C60" s="397"/>
      <c r="D60" s="397"/>
      <c r="E60" s="397"/>
      <c r="F60" s="397"/>
      <c r="G60" s="397"/>
      <c r="H60" s="397"/>
      <c r="I60" s="397"/>
      <c r="J60" s="397"/>
      <c r="K60" s="397"/>
      <c r="L60" s="397"/>
    </row>
    <row r="61" spans="1:12" s="262" customFormat="1" ht="12" customHeight="1">
      <c r="A61" s="159"/>
      <c r="B61" s="228" t="s">
        <v>430</v>
      </c>
      <c r="C61" s="159"/>
      <c r="D61" s="159"/>
      <c r="E61" s="159"/>
      <c r="F61" s="159"/>
      <c r="G61" s="159"/>
      <c r="H61" s="159"/>
      <c r="I61" s="159"/>
      <c r="J61" s="159"/>
      <c r="K61" s="159"/>
      <c r="L61" s="159"/>
    </row>
    <row r="62" s="262" customFormat="1" ht="15" customHeight="1"/>
    <row r="63" s="262" customFormat="1" ht="15" customHeight="1"/>
    <row r="64" s="262" customFormat="1" ht="15" customHeight="1"/>
    <row r="65" s="262" customFormat="1" ht="15" customHeight="1"/>
    <row r="66" s="262" customFormat="1" ht="15" customHeight="1"/>
    <row r="67" s="262" customFormat="1" ht="15" customHeight="1"/>
    <row r="68" s="262" customFormat="1" ht="15" customHeight="1"/>
    <row r="69" s="262" customFormat="1" ht="15" customHeight="1"/>
    <row r="70" s="262" customFormat="1" ht="15" customHeight="1"/>
    <row r="71" s="262" customFormat="1" ht="15" customHeight="1"/>
    <row r="72" s="262" customFormat="1" ht="15" customHeight="1"/>
    <row r="73" s="262" customFormat="1" ht="15" customHeight="1"/>
    <row r="74" s="262" customFormat="1" ht="15" customHeight="1"/>
    <row r="75" s="262" customFormat="1" ht="15" customHeight="1"/>
    <row r="76" s="262" customFormat="1" ht="15" customHeight="1"/>
    <row r="77" s="262" customFormat="1" ht="15" customHeight="1"/>
    <row r="78" s="262" customFormat="1" ht="15" customHeight="1"/>
    <row r="79" s="262" customFormat="1" ht="15" customHeight="1"/>
    <row r="80" s="262" customFormat="1" ht="15" customHeight="1"/>
    <row r="81" s="262" customFormat="1" ht="15" customHeight="1"/>
    <row r="82" s="262" customFormat="1" ht="15" customHeight="1"/>
    <row r="83" s="262" customFormat="1" ht="15" customHeight="1"/>
    <row r="84" s="262" customFormat="1" ht="15" customHeight="1"/>
    <row r="85" s="262" customFormat="1" ht="15" customHeight="1"/>
    <row r="86" s="262" customFormat="1" ht="15" customHeight="1"/>
    <row r="87" s="262" customFormat="1" ht="15" customHeight="1"/>
    <row r="88" s="262" customFormat="1" ht="15" customHeight="1"/>
    <row r="89" s="262" customFormat="1" ht="15" customHeight="1"/>
    <row r="90" s="262" customFormat="1" ht="15" customHeight="1"/>
    <row r="91" s="262" customFormat="1" ht="15" customHeight="1"/>
    <row r="92" s="262" customFormat="1" ht="15" customHeight="1"/>
    <row r="93" s="262" customFormat="1" ht="15" customHeight="1"/>
    <row r="94" s="262" customFormat="1" ht="15" customHeight="1"/>
    <row r="95" s="262" customFormat="1" ht="15" customHeight="1"/>
    <row r="96" s="262" customFormat="1" ht="15" customHeight="1"/>
    <row r="97" s="262" customFormat="1" ht="15" customHeight="1"/>
    <row r="98" s="262" customFormat="1" ht="15" customHeight="1"/>
    <row r="99" s="262" customFormat="1" ht="15" customHeight="1" thickBot="1">
      <c r="B99" s="263"/>
    </row>
    <row r="100" spans="2:6" ht="15" customHeight="1">
      <c r="B100" s="264" t="s">
        <v>235</v>
      </c>
      <c r="C100" s="241"/>
      <c r="D100" s="265" t="s">
        <v>261</v>
      </c>
      <c r="E100" s="241"/>
      <c r="F100" s="250" t="s">
        <v>262</v>
      </c>
    </row>
    <row r="101" spans="2:6" ht="15" customHeight="1">
      <c r="B101" s="242" t="s">
        <v>232</v>
      </c>
      <c r="C101" s="239"/>
      <c r="D101" s="266">
        <f>(IF(C2&gt;59,(C2-59)*0.0666354,0))+(C3*0.3304052)+(C28*0.7127953)+(C15*0.6521653)+IF(C14&gt;0,IF(C14=1,0.4191643,1.094443),0)+(C16*0.4931341)+(C30*1.159787)+(C24*0.6558917)+(C23*0.841626)+(C22*1.101265)+(C26*0.9058132)+(C18*0.5677075)+(C19*0.5460218)+(C17*0.7676924)+(C25*1.002625)+(C31*1.462009)+(C29*0.5420364)</f>
        <v>0</v>
      </c>
      <c r="E101" s="267" t="s">
        <v>232</v>
      </c>
      <c r="F101" s="243">
        <f>(C2*0.054)+(C3*0.509)+(C5*0.089)+(C6*0.083)+(C7*0.263)+(C8*0.456)+(C9*-0.271)+(C10*-0.065)+IF(C14&gt;0,IF(C14=1,0.542,0.813),0.271)+(C12*0.235)+(C13*0.835)+(C20*-0.553)+(C21*1.473)+(C26*1.455)+(C25*0.893)+(IF(C29=0,-0.588,0.647))</f>
        <v>2.383</v>
      </c>
    </row>
    <row r="102" spans="2:6" ht="15" customHeight="1">
      <c r="B102" s="242" t="s">
        <v>230</v>
      </c>
      <c r="C102" s="239"/>
      <c r="D102" s="239">
        <f>-4.789594+D101</f>
        <v>-4.789594</v>
      </c>
      <c r="E102" s="267" t="s">
        <v>230</v>
      </c>
      <c r="F102" s="244">
        <f>-7.032+F101</f>
        <v>-4.649</v>
      </c>
    </row>
    <row r="103" spans="2:6" ht="15" customHeight="1">
      <c r="B103" s="242" t="s">
        <v>231</v>
      </c>
      <c r="C103" s="239"/>
      <c r="D103" s="239">
        <f>EXP(D102)</f>
        <v>0.008315832924809016</v>
      </c>
      <c r="E103" s="267" t="s">
        <v>253</v>
      </c>
      <c r="F103" s="244">
        <f>EXP(-F102)</f>
        <v>104.4804528666034</v>
      </c>
    </row>
    <row r="104" spans="2:6" ht="15" customHeight="1" thickBot="1">
      <c r="B104" s="245" t="s">
        <v>233</v>
      </c>
      <c r="C104" s="246"/>
      <c r="D104" s="246">
        <f>D103/(1+D103)</f>
        <v>0.008247250170303668</v>
      </c>
      <c r="E104" s="268" t="s">
        <v>252</v>
      </c>
      <c r="F104" s="247">
        <f>1/(1+F103)</f>
        <v>0.009480429528157763</v>
      </c>
    </row>
    <row r="105" ht="15" customHeight="1">
      <c r="B105" s="212"/>
    </row>
    <row r="106" ht="15" customHeight="1">
      <c r="B106" s="214"/>
    </row>
    <row r="107" ht="15" customHeight="1">
      <c r="B107" s="213" t="s">
        <v>305</v>
      </c>
    </row>
    <row r="108" ht="15" customHeight="1">
      <c r="B108" s="254" t="s">
        <v>306</v>
      </c>
    </row>
    <row r="109" ht="15" customHeight="1">
      <c r="B109" s="254" t="s">
        <v>307</v>
      </c>
    </row>
    <row r="111" ht="15" customHeight="1">
      <c r="B111" s="214" t="s">
        <v>308</v>
      </c>
    </row>
    <row r="112" ht="15" customHeight="1">
      <c r="B112" s="254" t="s">
        <v>309</v>
      </c>
    </row>
    <row r="113" ht="15" customHeight="1">
      <c r="B113" s="254" t="s">
        <v>310</v>
      </c>
    </row>
  </sheetData>
  <sheetProtection password="CA27" sheet="1" objects="1" scenarios="1"/>
  <conditionalFormatting sqref="C32:C33">
    <cfRule type="cellIs" priority="1" dxfId="1" operator="greaterThanOrEqual" stopIfTrue="1">
      <formula>0.1</formula>
    </cfRule>
    <cfRule type="cellIs" priority="2" dxfId="4" operator="between" stopIfTrue="1">
      <formula>0.05</formula>
      <formula>0.0999</formula>
    </cfRule>
    <cfRule type="cellIs" priority="3" dxfId="5" operator="lessThan" stopIfTrue="1">
      <formula>0.05</formula>
    </cfRule>
  </conditionalFormatting>
  <dataValidations count="6">
    <dataValidation type="whole" allowBlank="1" showErrorMessage="1" errorTitle="Input error" error="Enter value between 0-2" sqref="C14">
      <formula1>0</formula1>
      <formula2>2</formula2>
    </dataValidation>
    <dataValidation type="whole" allowBlank="1" showInputMessage="1" showErrorMessage="1" sqref="G29">
      <formula1>0</formula1>
      <formula2>1</formula2>
    </dataValidation>
    <dataValidation type="whole" allowBlank="1" showInputMessage="1" showErrorMessage="1" errorTitle="Input Error" error="Enter value 0-2" sqref="G19:G21">
      <formula1>0</formula1>
      <formula2>2</formula2>
    </dataValidation>
    <dataValidation type="whole" showInputMessage="1" showErrorMessage="1" errorTitle="Input error" error="Please enter&#10; 0 for Male&#10; 1 for Female" sqref="C3">
      <formula1>0</formula1>
      <formula2>1</formula2>
    </dataValidation>
    <dataValidation type="whole" allowBlank="1" showInputMessage="1" showErrorMessage="1" errorTitle="Range error" error="Enter age between 0-120" sqref="C2">
      <formula1>0</formula1>
      <formula2>120</formula2>
    </dataValidation>
    <dataValidation type="whole" allowBlank="1" showInputMessage="1" showErrorMessage="1" errorTitle="Input error" error="Please enter&#10; 0 for No&#10; 1 for Yes" sqref="C5:C10 C12:C13 C15:C26 C28:C31">
      <formula1>0</formula1>
      <formula2>1</formula2>
    </dataValidation>
  </dataValidations>
  <hyperlinks>
    <hyperlink ref="B37" r:id="rId1" display="http://www.euroscore.org/"/>
  </hyperlinks>
  <printOptions horizontalCentered="1"/>
  <pageMargins left="0.7480314960629921" right="0.4724409448818898" top="0.5905511811023623" bottom="0.6692913385826772" header="0.5118110236220472" footer="0.5118110236220472"/>
  <pageSetup fitToHeight="1" fitToWidth="1" horizontalDpi="360" verticalDpi="360" orientation="landscape" paperSize="9" scale="72" r:id="rId4"/>
  <drawing r:id="rId3"/>
  <legacyDrawing r:id="rId2"/>
</worksheet>
</file>

<file path=xl/worksheets/sheet9.xml><?xml version="1.0" encoding="utf-8"?>
<worksheet xmlns="http://schemas.openxmlformats.org/spreadsheetml/2006/main" xmlns:r="http://schemas.openxmlformats.org/officeDocument/2006/relationships">
  <sheetPr codeName="Sheet12">
    <pageSetUpPr fitToPage="1"/>
  </sheetPr>
  <dimension ref="A1:S42"/>
  <sheetViews>
    <sheetView workbookViewId="0" topLeftCell="A1">
      <selection activeCell="C4" sqref="C4"/>
    </sheetView>
  </sheetViews>
  <sheetFormatPr defaultColWidth="9.00390625" defaultRowHeight="15" customHeight="1"/>
  <cols>
    <col min="1" max="1" width="79.125" style="136" customWidth="1"/>
    <col min="2" max="2" width="5.50390625" style="136" hidden="1" customWidth="1"/>
    <col min="3" max="3" width="6.625" style="136" customWidth="1"/>
    <col min="4" max="4" width="17.75390625" style="136" customWidth="1"/>
    <col min="5" max="15" width="9.00390625" style="136" customWidth="1"/>
    <col min="16" max="17" width="11.625" style="136" customWidth="1"/>
    <col min="18" max="16384" width="9.00390625" style="136" customWidth="1"/>
  </cols>
  <sheetData>
    <row r="1" spans="1:12" ht="15" customHeight="1">
      <c r="A1" s="471" t="s">
        <v>264</v>
      </c>
      <c r="B1" s="471"/>
      <c r="C1" s="471"/>
      <c r="D1" s="159"/>
      <c r="E1" s="159"/>
      <c r="F1" s="159"/>
      <c r="G1" s="159"/>
      <c r="H1" s="159"/>
      <c r="I1" s="159"/>
      <c r="J1" s="159"/>
      <c r="K1" s="159"/>
      <c r="L1" s="159"/>
    </row>
    <row r="2" spans="1:12" ht="15" customHeight="1">
      <c r="A2" s="159" t="s">
        <v>335</v>
      </c>
      <c r="B2" s="215"/>
      <c r="C2" s="159"/>
      <c r="D2" s="159"/>
      <c r="E2" s="159"/>
      <c r="F2" s="159"/>
      <c r="G2" s="159"/>
      <c r="H2" s="159"/>
      <c r="I2" s="159"/>
      <c r="J2" s="159"/>
      <c r="K2" s="159"/>
      <c r="L2" s="159"/>
    </row>
    <row r="3" spans="1:19" ht="15" customHeight="1">
      <c r="A3" s="365" t="s">
        <v>273</v>
      </c>
      <c r="B3" s="368" t="s">
        <v>269</v>
      </c>
      <c r="C3" s="327" t="s">
        <v>269</v>
      </c>
      <c r="D3" s="226"/>
      <c r="E3" s="159"/>
      <c r="F3" s="159"/>
      <c r="G3" s="159"/>
      <c r="H3" s="159"/>
      <c r="I3" s="159"/>
      <c r="J3" s="159"/>
      <c r="K3" s="159"/>
      <c r="L3" s="159"/>
      <c r="P3" s="136" t="s">
        <v>265</v>
      </c>
      <c r="Q3" s="136">
        <v>1</v>
      </c>
      <c r="R3" s="136">
        <v>0</v>
      </c>
      <c r="S3" s="136" t="s">
        <v>266</v>
      </c>
    </row>
    <row r="4" spans="1:19" ht="15" customHeight="1">
      <c r="A4" s="218"/>
      <c r="B4" s="235">
        <v>1</v>
      </c>
      <c r="C4" s="240">
        <f>VLOOKUP(B4,Q3:S11,2)</f>
        <v>0</v>
      </c>
      <c r="D4" s="226"/>
      <c r="E4" s="159"/>
      <c r="F4" s="159"/>
      <c r="G4" s="159"/>
      <c r="H4" s="159"/>
      <c r="I4" s="159"/>
      <c r="J4" s="159"/>
      <c r="K4" s="159"/>
      <c r="L4" s="159"/>
      <c r="P4" s="136" t="s">
        <v>277</v>
      </c>
      <c r="Q4" s="136">
        <v>2</v>
      </c>
      <c r="R4" s="136">
        <v>2</v>
      </c>
      <c r="S4" s="136" t="s">
        <v>267</v>
      </c>
    </row>
    <row r="5" spans="1:19" ht="15" customHeight="1">
      <c r="A5" s="365" t="s">
        <v>270</v>
      </c>
      <c r="B5" s="367"/>
      <c r="C5" s="366"/>
      <c r="D5" s="226"/>
      <c r="E5" s="159"/>
      <c r="F5" s="159"/>
      <c r="G5" s="159"/>
      <c r="H5" s="159"/>
      <c r="I5" s="159"/>
      <c r="J5" s="159"/>
      <c r="K5" s="159"/>
      <c r="L5" s="159"/>
      <c r="Q5" s="136">
        <v>3</v>
      </c>
      <c r="R5" s="136">
        <v>4</v>
      </c>
      <c r="S5" s="136" t="s">
        <v>268</v>
      </c>
    </row>
    <row r="6" spans="1:19" ht="15" customHeight="1">
      <c r="A6" s="220"/>
      <c r="B6" s="235">
        <v>1</v>
      </c>
      <c r="C6" s="240">
        <f>VLOOKUP(ChoiceB,Q13:S15,2)</f>
        <v>0</v>
      </c>
      <c r="D6" s="226"/>
      <c r="E6" s="159"/>
      <c r="F6" s="159"/>
      <c r="G6" s="159"/>
      <c r="H6" s="159"/>
      <c r="I6" s="159"/>
      <c r="J6" s="159"/>
      <c r="K6" s="159"/>
      <c r="L6" s="159"/>
      <c r="Q6" s="136">
        <v>4</v>
      </c>
      <c r="R6" s="136">
        <v>6</v>
      </c>
      <c r="S6" s="136" t="s">
        <v>278</v>
      </c>
    </row>
    <row r="7" spans="1:19" ht="15" customHeight="1">
      <c r="A7" s="365" t="s">
        <v>271</v>
      </c>
      <c r="B7" s="367"/>
      <c r="C7" s="366"/>
      <c r="D7" s="226"/>
      <c r="E7" s="159"/>
      <c r="F7" s="159"/>
      <c r="G7" s="159"/>
      <c r="H7" s="159"/>
      <c r="I7" s="159"/>
      <c r="J7" s="159"/>
      <c r="K7" s="159"/>
      <c r="L7" s="159"/>
      <c r="Q7" s="136">
        <v>5</v>
      </c>
      <c r="R7" s="136">
        <v>10</v>
      </c>
      <c r="S7" s="136" t="s">
        <v>279</v>
      </c>
    </row>
    <row r="8" spans="1:19" ht="15" customHeight="1">
      <c r="A8" s="219"/>
      <c r="B8" s="235">
        <v>1</v>
      </c>
      <c r="C8" s="240">
        <f>VLOOKUP(ChoiceC,Q17:S19,2)</f>
        <v>0</v>
      </c>
      <c r="D8" s="226"/>
      <c r="E8" s="159"/>
      <c r="F8" s="159"/>
      <c r="G8" s="159"/>
      <c r="H8" s="159"/>
      <c r="I8" s="159"/>
      <c r="J8" s="159"/>
      <c r="K8" s="159"/>
      <c r="L8" s="159"/>
      <c r="Q8" s="136">
        <v>6</v>
      </c>
      <c r="R8" s="136">
        <v>0</v>
      </c>
      <c r="S8" s="136" t="s">
        <v>281</v>
      </c>
    </row>
    <row r="9" spans="1:19" ht="15" customHeight="1">
      <c r="A9" s="365" t="s">
        <v>274</v>
      </c>
      <c r="B9" s="236"/>
      <c r="C9" s="366"/>
      <c r="D9" s="226"/>
      <c r="E9" s="159"/>
      <c r="F9" s="159"/>
      <c r="G9" s="159"/>
      <c r="H9" s="159"/>
      <c r="I9" s="159"/>
      <c r="J9" s="159"/>
      <c r="K9" s="159"/>
      <c r="L9" s="159"/>
      <c r="Q9" s="136">
        <v>7</v>
      </c>
      <c r="R9" s="136">
        <v>2</v>
      </c>
      <c r="S9" s="136" t="s">
        <v>280</v>
      </c>
    </row>
    <row r="10" spans="1:19" ht="15" customHeight="1">
      <c r="A10" s="219"/>
      <c r="B10" s="235">
        <v>8</v>
      </c>
      <c r="C10" s="240">
        <f>VLOOKUP(ChoiceD,Q21:S28,2)</f>
        <v>0</v>
      </c>
      <c r="D10" s="226"/>
      <c r="E10" s="155"/>
      <c r="F10" s="159"/>
      <c r="G10" s="159"/>
      <c r="H10" s="159"/>
      <c r="I10" s="159"/>
      <c r="J10" s="159"/>
      <c r="K10" s="159"/>
      <c r="L10" s="159"/>
      <c r="Q10" s="136">
        <v>8</v>
      </c>
      <c r="R10" s="136">
        <v>5</v>
      </c>
      <c r="S10" s="136" t="s">
        <v>282</v>
      </c>
    </row>
    <row r="11" spans="1:19" ht="15" customHeight="1">
      <c r="A11" s="364" t="s">
        <v>272</v>
      </c>
      <c r="B11" s="237"/>
      <c r="C11" s="240">
        <f>C4+C6+C8+C10</f>
        <v>0</v>
      </c>
      <c r="D11" s="226"/>
      <c r="E11" s="159"/>
      <c r="F11" s="159"/>
      <c r="G11" s="159"/>
      <c r="H11" s="159"/>
      <c r="I11" s="159"/>
      <c r="J11" s="159"/>
      <c r="K11" s="159"/>
      <c r="L11" s="159"/>
      <c r="Q11" s="136">
        <v>9</v>
      </c>
      <c r="R11" s="136">
        <v>10</v>
      </c>
      <c r="S11" s="136" t="s">
        <v>283</v>
      </c>
    </row>
    <row r="12" spans="1:12" ht="15" customHeight="1">
      <c r="A12" s="483" t="str">
        <f>IF(C11&gt;30,"Probably not suitable for choice: consider individually",IF(C11&gt;19,"Probably suitable for choice","Should be suitable for choice"))</f>
        <v>Should be suitable for choice</v>
      </c>
      <c r="B12" s="483"/>
      <c r="C12" s="483"/>
      <c r="D12" s="159"/>
      <c r="E12" s="159"/>
      <c r="F12" s="159"/>
      <c r="G12" s="159"/>
      <c r="H12" s="159"/>
      <c r="I12" s="159"/>
      <c r="J12" s="159"/>
      <c r="K12" s="159"/>
      <c r="L12" s="159"/>
    </row>
    <row r="13" spans="1:19" ht="15" customHeight="1">
      <c r="A13" s="228"/>
      <c r="B13" s="228"/>
      <c r="C13" s="159"/>
      <c r="D13" s="159"/>
      <c r="E13" s="159"/>
      <c r="F13" s="159"/>
      <c r="G13" s="159"/>
      <c r="H13" s="159"/>
      <c r="I13" s="159"/>
      <c r="J13" s="159"/>
      <c r="K13" s="159"/>
      <c r="L13" s="159"/>
      <c r="P13" s="136" t="s">
        <v>284</v>
      </c>
      <c r="Q13" s="136">
        <v>1</v>
      </c>
      <c r="R13" s="136">
        <v>0</v>
      </c>
      <c r="S13" s="136" t="s">
        <v>285</v>
      </c>
    </row>
    <row r="14" spans="1:19" ht="15" customHeight="1">
      <c r="A14" s="155" t="s">
        <v>275</v>
      </c>
      <c r="B14" s="159"/>
      <c r="C14" s="159"/>
      <c r="D14" s="159"/>
      <c r="E14" s="159"/>
      <c r="F14" s="159"/>
      <c r="G14" s="159"/>
      <c r="H14" s="159"/>
      <c r="I14" s="159"/>
      <c r="J14" s="159"/>
      <c r="K14" s="159"/>
      <c r="L14" s="159"/>
      <c r="Q14" s="136">
        <v>2</v>
      </c>
      <c r="R14" s="136">
        <v>5</v>
      </c>
      <c r="S14" s="136" t="s">
        <v>286</v>
      </c>
    </row>
    <row r="15" spans="1:19" ht="15" customHeight="1">
      <c r="A15" s="251" t="s">
        <v>276</v>
      </c>
      <c r="B15" s="159"/>
      <c r="C15" s="159"/>
      <c r="D15" s="159"/>
      <c r="E15" s="159"/>
      <c r="F15" s="159"/>
      <c r="G15" s="159"/>
      <c r="H15" s="159"/>
      <c r="I15" s="159"/>
      <c r="J15" s="159"/>
      <c r="K15" s="159"/>
      <c r="L15" s="159"/>
      <c r="Q15" s="136">
        <v>3</v>
      </c>
      <c r="R15" s="136">
        <v>10</v>
      </c>
      <c r="S15" s="136" t="s">
        <v>287</v>
      </c>
    </row>
    <row r="16" spans="1:12" ht="15" customHeight="1">
      <c r="A16" s="252" t="s">
        <v>302</v>
      </c>
      <c r="B16" s="159"/>
      <c r="C16" s="159"/>
      <c r="D16" s="159"/>
      <c r="E16" s="159"/>
      <c r="F16" s="159"/>
      <c r="G16" s="159"/>
      <c r="H16" s="159"/>
      <c r="I16" s="159"/>
      <c r="J16" s="159"/>
      <c r="K16" s="159"/>
      <c r="L16" s="159"/>
    </row>
    <row r="17" spans="1:19" ht="15" customHeight="1">
      <c r="A17" s="252" t="s">
        <v>301</v>
      </c>
      <c r="B17" s="159"/>
      <c r="C17" s="159"/>
      <c r="D17" s="159"/>
      <c r="E17" s="159"/>
      <c r="F17" s="159"/>
      <c r="G17" s="159"/>
      <c r="H17" s="159"/>
      <c r="I17" s="159"/>
      <c r="J17" s="159"/>
      <c r="K17" s="159"/>
      <c r="L17" s="159"/>
      <c r="P17" s="136" t="s">
        <v>271</v>
      </c>
      <c r="Q17" s="136">
        <v>1</v>
      </c>
      <c r="R17" s="136">
        <v>0</v>
      </c>
      <c r="S17" s="136" t="s">
        <v>289</v>
      </c>
    </row>
    <row r="18" spans="1:19" ht="15" customHeight="1">
      <c r="A18" s="252" t="s">
        <v>303</v>
      </c>
      <c r="B18" s="159"/>
      <c r="C18" s="159"/>
      <c r="D18" s="159"/>
      <c r="E18" s="159"/>
      <c r="F18" s="159"/>
      <c r="G18" s="159"/>
      <c r="H18" s="159"/>
      <c r="I18" s="159"/>
      <c r="J18" s="159"/>
      <c r="K18" s="159"/>
      <c r="L18" s="159"/>
      <c r="Q18" s="136">
        <v>2</v>
      </c>
      <c r="R18" s="136">
        <v>4</v>
      </c>
      <c r="S18" s="136" t="s">
        <v>290</v>
      </c>
    </row>
    <row r="19" spans="1:19" ht="15" customHeight="1">
      <c r="A19" s="253" t="s">
        <v>304</v>
      </c>
      <c r="B19" s="159"/>
      <c r="C19" s="159"/>
      <c r="D19" s="159"/>
      <c r="E19" s="159"/>
      <c r="F19" s="159"/>
      <c r="G19" s="159"/>
      <c r="H19" s="159"/>
      <c r="I19" s="159"/>
      <c r="J19" s="159"/>
      <c r="K19" s="159"/>
      <c r="L19" s="159"/>
      <c r="Q19" s="136">
        <v>3</v>
      </c>
      <c r="R19" s="136">
        <v>6</v>
      </c>
      <c r="S19" s="136" t="s">
        <v>291</v>
      </c>
    </row>
    <row r="20" spans="1:12" ht="15" customHeight="1">
      <c r="A20" s="159"/>
      <c r="B20" s="159"/>
      <c r="C20" s="159"/>
      <c r="D20" s="159"/>
      <c r="E20" s="159"/>
      <c r="F20" s="159"/>
      <c r="G20" s="159"/>
      <c r="H20" s="159"/>
      <c r="I20" s="159"/>
      <c r="J20" s="159"/>
      <c r="K20" s="159"/>
      <c r="L20" s="159"/>
    </row>
    <row r="21" spans="1:19" ht="15" customHeight="1">
      <c r="A21" s="228" t="s">
        <v>333</v>
      </c>
      <c r="B21" s="159"/>
      <c r="C21" s="159"/>
      <c r="D21" s="159"/>
      <c r="E21" s="159"/>
      <c r="F21" s="159"/>
      <c r="G21" s="159"/>
      <c r="H21" s="159"/>
      <c r="I21" s="159"/>
      <c r="J21" s="159"/>
      <c r="K21" s="159"/>
      <c r="L21" s="159"/>
      <c r="P21" s="136" t="s">
        <v>288</v>
      </c>
      <c r="Q21" s="136">
        <v>1</v>
      </c>
      <c r="R21" s="136">
        <v>20</v>
      </c>
      <c r="S21" s="136" t="s">
        <v>293</v>
      </c>
    </row>
    <row r="22" spans="1:19" ht="15" customHeight="1">
      <c r="A22" s="283" t="s">
        <v>334</v>
      </c>
      <c r="B22" s="159"/>
      <c r="C22" s="159"/>
      <c r="D22" s="159"/>
      <c r="E22" s="159"/>
      <c r="F22" s="159"/>
      <c r="G22" s="159"/>
      <c r="H22" s="159"/>
      <c r="I22" s="159"/>
      <c r="J22" s="159"/>
      <c r="K22" s="159"/>
      <c r="L22" s="159"/>
      <c r="Q22" s="136">
        <v>2</v>
      </c>
      <c r="R22" s="136">
        <v>15</v>
      </c>
      <c r="S22" s="136" t="s">
        <v>292</v>
      </c>
    </row>
    <row r="23" spans="1:19" ht="15" customHeight="1">
      <c r="A23" s="216"/>
      <c r="B23" s="216"/>
      <c r="C23" s="216"/>
      <c r="D23" s="159"/>
      <c r="E23" s="159"/>
      <c r="F23" s="159"/>
      <c r="G23" s="159"/>
      <c r="H23" s="159"/>
      <c r="I23" s="159"/>
      <c r="J23" s="159"/>
      <c r="K23" s="159"/>
      <c r="L23" s="159"/>
      <c r="Q23" s="136">
        <v>3</v>
      </c>
      <c r="R23" s="136">
        <v>10</v>
      </c>
      <c r="S23" s="136" t="s">
        <v>295</v>
      </c>
    </row>
    <row r="24" spans="1:19" ht="15" customHeight="1">
      <c r="A24" s="159"/>
      <c r="B24" s="159"/>
      <c r="C24" s="159"/>
      <c r="D24" s="159"/>
      <c r="E24" s="159"/>
      <c r="F24" s="159"/>
      <c r="G24" s="159"/>
      <c r="H24" s="159"/>
      <c r="I24" s="159"/>
      <c r="J24" s="159"/>
      <c r="K24" s="159"/>
      <c r="L24" s="159"/>
      <c r="Q24" s="136">
        <v>4</v>
      </c>
      <c r="R24" s="136">
        <v>6</v>
      </c>
      <c r="S24" s="136" t="s">
        <v>294</v>
      </c>
    </row>
    <row r="25" spans="1:19" ht="15" customHeight="1">
      <c r="A25" s="159"/>
      <c r="B25" s="159"/>
      <c r="C25" s="159"/>
      <c r="D25" s="159"/>
      <c r="E25" s="159"/>
      <c r="F25" s="159"/>
      <c r="G25" s="159"/>
      <c r="H25" s="159"/>
      <c r="I25" s="159"/>
      <c r="J25" s="159"/>
      <c r="K25" s="159"/>
      <c r="L25" s="159"/>
      <c r="Q25" s="136">
        <v>5</v>
      </c>
      <c r="R25" s="136">
        <v>6</v>
      </c>
      <c r="S25" s="136" t="s">
        <v>296</v>
      </c>
    </row>
    <row r="26" spans="1:19" ht="15" customHeight="1">
      <c r="A26" s="159"/>
      <c r="B26" s="159"/>
      <c r="C26" s="159"/>
      <c r="D26" s="159"/>
      <c r="E26" s="159"/>
      <c r="F26" s="159"/>
      <c r="G26" s="159"/>
      <c r="H26" s="159"/>
      <c r="I26" s="159"/>
      <c r="J26" s="159"/>
      <c r="K26" s="159"/>
      <c r="L26" s="159"/>
      <c r="Q26" s="136">
        <v>6</v>
      </c>
      <c r="R26" s="136">
        <v>4</v>
      </c>
      <c r="S26" s="136" t="s">
        <v>298</v>
      </c>
    </row>
    <row r="27" spans="1:19" ht="15" customHeight="1">
      <c r="A27" s="159"/>
      <c r="B27" s="159"/>
      <c r="C27" s="159"/>
      <c r="D27" s="159"/>
      <c r="E27" s="159"/>
      <c r="F27" s="159"/>
      <c r="G27" s="159"/>
      <c r="H27" s="159"/>
      <c r="I27" s="159"/>
      <c r="J27" s="159"/>
      <c r="K27" s="159"/>
      <c r="L27" s="159"/>
      <c r="Q27" s="136">
        <v>7</v>
      </c>
      <c r="R27" s="136">
        <v>1</v>
      </c>
      <c r="S27" s="136" t="s">
        <v>297</v>
      </c>
    </row>
    <row r="28" spans="1:19" ht="15" customHeight="1">
      <c r="A28" s="159"/>
      <c r="B28" s="159"/>
      <c r="C28" s="159"/>
      <c r="D28" s="159"/>
      <c r="E28" s="159"/>
      <c r="F28" s="159"/>
      <c r="G28" s="159"/>
      <c r="H28" s="159"/>
      <c r="I28" s="159"/>
      <c r="J28" s="159"/>
      <c r="K28" s="159"/>
      <c r="L28" s="159"/>
      <c r="Q28" s="136">
        <v>8</v>
      </c>
      <c r="R28" s="136">
        <v>0</v>
      </c>
      <c r="S28" s="136" t="s">
        <v>411</v>
      </c>
    </row>
    <row r="29" spans="1:12" ht="15" customHeight="1">
      <c r="A29" s="159"/>
      <c r="B29" s="159"/>
      <c r="C29" s="159"/>
      <c r="D29" s="159"/>
      <c r="E29" s="159"/>
      <c r="F29" s="159"/>
      <c r="G29" s="159"/>
      <c r="H29" s="159"/>
      <c r="I29" s="159"/>
      <c r="J29" s="159"/>
      <c r="K29" s="159"/>
      <c r="L29" s="159"/>
    </row>
    <row r="30" spans="1:12" ht="15" customHeight="1">
      <c r="A30" s="484"/>
      <c r="B30" s="484"/>
      <c r="C30" s="484"/>
      <c r="D30" s="159"/>
      <c r="E30" s="159"/>
      <c r="F30" s="159"/>
      <c r="G30" s="159"/>
      <c r="H30" s="159"/>
      <c r="I30" s="159"/>
      <c r="J30" s="159"/>
      <c r="K30" s="159"/>
      <c r="L30" s="159"/>
    </row>
    <row r="31" spans="1:12" ht="15" customHeight="1">
      <c r="A31" s="465" t="s">
        <v>432</v>
      </c>
      <c r="B31" s="465"/>
      <c r="C31" s="465"/>
      <c r="D31" s="159"/>
      <c r="E31" s="159"/>
      <c r="F31" s="159"/>
      <c r="G31" s="159"/>
      <c r="H31" s="159"/>
      <c r="I31" s="159"/>
      <c r="J31" s="159"/>
      <c r="K31" s="159"/>
      <c r="L31" s="159"/>
    </row>
    <row r="32" spans="1:12" ht="15" customHeight="1">
      <c r="A32" s="159"/>
      <c r="B32" s="159"/>
      <c r="C32" s="159"/>
      <c r="D32" s="159"/>
      <c r="E32" s="159"/>
      <c r="F32" s="159"/>
      <c r="G32" s="159"/>
      <c r="H32" s="159"/>
      <c r="I32" s="159"/>
      <c r="J32" s="159"/>
      <c r="K32" s="159"/>
      <c r="L32" s="159"/>
    </row>
    <row r="33" spans="1:12" ht="15" customHeight="1">
      <c r="A33" s="217"/>
      <c r="B33" s="217"/>
      <c r="C33" s="159"/>
      <c r="D33" s="159"/>
      <c r="E33" s="159"/>
      <c r="F33" s="159"/>
      <c r="G33" s="159"/>
      <c r="H33" s="159"/>
      <c r="I33" s="159"/>
      <c r="J33" s="159"/>
      <c r="K33" s="159"/>
      <c r="L33" s="159"/>
    </row>
    <row r="34" spans="1:3" ht="15" customHeight="1">
      <c r="A34" s="238"/>
      <c r="B34" s="238"/>
      <c r="C34" s="239"/>
    </row>
    <row r="35" spans="1:4" ht="15" customHeight="1">
      <c r="A35" s="211"/>
      <c r="B35" s="211"/>
      <c r="D35" s="210"/>
    </row>
    <row r="36" spans="1:6" ht="15" customHeight="1">
      <c r="A36" s="211"/>
      <c r="B36" s="211"/>
      <c r="F36" s="231"/>
    </row>
    <row r="37" spans="1:6" ht="15" customHeight="1">
      <c r="A37" s="211"/>
      <c r="B37" s="211"/>
      <c r="F37" s="231"/>
    </row>
    <row r="38" spans="1:2" ht="15" customHeight="1">
      <c r="A38" s="211"/>
      <c r="B38" s="211"/>
    </row>
    <row r="39" spans="1:2" ht="15" customHeight="1">
      <c r="A39" s="212"/>
      <c r="B39" s="212"/>
    </row>
    <row r="42" spans="1:2" ht="15" customHeight="1">
      <c r="A42" s="214"/>
      <c r="B42" s="214"/>
    </row>
  </sheetData>
  <sheetProtection password="CA27" sheet="1" objects="1" scenarios="1"/>
  <mergeCells count="4">
    <mergeCell ref="A12:C12"/>
    <mergeCell ref="A31:C31"/>
    <mergeCell ref="A30:C30"/>
    <mergeCell ref="A1:C1"/>
  </mergeCells>
  <conditionalFormatting sqref="C11">
    <cfRule type="cellIs" priority="1" dxfId="7" operator="between" stopIfTrue="1">
      <formula>0</formula>
      <formula>19</formula>
    </cfRule>
    <cfRule type="cellIs" priority="2" dxfId="8" operator="between" stopIfTrue="1">
      <formula>20</formula>
      <formula>30</formula>
    </cfRule>
    <cfRule type="cellIs" priority="3" dxfId="1" operator="greaterThan" stopIfTrue="1">
      <formula>30</formula>
    </cfRule>
  </conditionalFormatting>
  <dataValidations count="1">
    <dataValidation allowBlank="1" showErrorMessage="1" errorTitle="Input error" error="Enter value between 0-2" sqref="B6"/>
  </dataValidations>
  <hyperlinks>
    <hyperlink ref="A22" r:id="rId1" display="www.doh.gov.uk/extendingchoice/index.htm"/>
  </hyperlinks>
  <printOptions horizontalCentered="1"/>
  <pageMargins left="0.7480314960629921" right="0.7480314960629921" top="0.984251968503937" bottom="0.984251968503937" header="0.5118110236220472" footer="0.5118110236220472"/>
  <pageSetup fitToHeight="1" fitToWidth="1"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Cardiology Risk calculators</dc:title>
  <dc:subject/>
  <dc:creator>Dr John Bayliss</dc:creator>
  <cp:keywords/>
  <dc:description/>
  <cp:lastModifiedBy>U.O. Cardiologia - Reparto Subintensiva</cp:lastModifiedBy>
  <cp:lastPrinted>2002-10-26T20:16:47Z</cp:lastPrinted>
  <dcterms:created xsi:type="dcterms:W3CDTF">1999-02-07T17:16:01Z</dcterms:created>
  <dcterms:modified xsi:type="dcterms:W3CDTF">2008-07-04T15:29:39Z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